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_rels/sheet12.xml.rels" ContentType="application/vnd.openxmlformats-package.relationships+xml"/>
  <Override PartName="/xl/worksheets/_rels/sheet14.xml.rels" ContentType="application/vnd.openxmlformats-package.relationships+xml"/>
  <Override PartName="/xl/worksheets/_rels/sheet9.xml.rels" ContentType="application/vnd.openxmlformats-package.relationships+xml"/>
  <Override PartName="/xl/worksheets/sheet11.xml" ContentType="application/vnd.openxmlformats-officedocument.spreadsheetml.worksheet+xml"/>
  <Override PartName="/xl/worksheets/sheet6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Override PartName="/xl/worksheets/sheet18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7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9.xml" ContentType="application/vnd.openxmlformats-officedocument.spreadsheetml.worksheet+xml"/>
  <Override PartName="/xl/worksheets/sheet14.xml" ContentType="application/vnd.openxmlformats-officedocument.spreadsheetml.worksheet+xml"/>
  <Override PartName="/xl/worksheets/sheet13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 workbookPassword="ECF5" lockStructure="1"/>
  <bookViews>
    <workbookView showHorizontalScroll="true" showVerticalScroll="true" showSheetTabs="true" xWindow="0" yWindow="0" windowWidth="16384" windowHeight="8192" tabRatio="500" firstSheet="0" activeTab="0"/>
  </bookViews>
  <sheets>
    <sheet name="Start" sheetId="1" state="visible" r:id="rId3"/>
    <sheet name="Setup" sheetId="2" state="visible" r:id="rId4"/>
    <sheet name="Expenses" sheetId="3" state="visible" r:id="rId5"/>
    <sheet name="Itinerary" sheetId="4" state="visible" r:id="rId6"/>
    <sheet name="Today" sheetId="5" state="visible" r:id="rId7"/>
    <sheet name="Contacts" sheetId="6" state="visible" r:id="rId8"/>
    <sheet name="Checklist" sheetId="7" state="visible" r:id="rId9"/>
    <sheet name="Savings" sheetId="8" state="visible" r:id="rId10"/>
    <sheet name="Dashboard" sheetId="9" state="visible" r:id="rId11"/>
    <sheet name="Split &amp; Settle" sheetId="10" state="visible" r:id="rId12"/>
    <sheet name="Compare" sheetId="11" state="visible" r:id="rId13"/>
    <sheet name="Print Summary" sheetId="12" state="visible" r:id="rId14"/>
    <sheet name="Print Itinerary" sheetId="13" state="visible" r:id="rId15"/>
    <sheet name="Save on Bookings" sheetId="14" state="visible" r:id="rId16"/>
    <sheet name="Settings" sheetId="15" state="visible" r:id="rId17"/>
    <sheet name="Country Data" sheetId="16" state="visible" r:id="rId18"/>
    <sheet name="Templates" sheetId="17" state="visible" r:id="rId19"/>
    <sheet name="Calc" sheetId="18" state="veryHidden" r:id="rId20"/>
  </sheets>
  <definedNames>
    <definedName function="false" hidden="false" localSheetId="2" name="_xlnm.Print_Area" vbProcedure="false">Expenses!$A$1:$T$205</definedName>
    <definedName function="false" hidden="false" localSheetId="2" name="_xlnm.Print_Titles" vbProcedure="false">Expenses!$5:$5</definedName>
    <definedName function="false" hidden="false" localSheetId="12" name="_xlnm.Print_Area" vbProcedure="false">'Print Itinerary'!$B$1:$H$84</definedName>
    <definedName function="false" hidden="false" localSheetId="12" name="_xlnm.Print_Titles" vbProcedure="false">'Print Itinerary'!$4:$4</definedName>
    <definedName function="false" hidden="false" localSheetId="11" name="_xlnm.Print_Area" vbProcedure="false">'Print Summary'!$B$1:$I$61</definedName>
    <definedName function="false" hidden="false" name="CatList" vbProcedure="false">OFFSET(Calc!$W$2,0,0,MAX(1,SUMPRODUCT(--(LEN(Calc!$W$2:$W$26)&gt;0))),1)</definedName>
    <definedName function="false" hidden="false" name="CcyList" vbProcedure="false">OFFSET(Calc!$N$2,0,0,MAX(1,SUMPRODUCT(--(LEN(Calc!$N$2:$N$9)&gt;0))),1)</definedName>
    <definedName function="false" hidden="false" name="ContactList" vbProcedure="false">OFFSET(Calc!$Q$2,0,0,MAX(1,SUMPRODUCT(--(LEN(Calc!$Q$2:$Q$41)&gt;0))),1)</definedName>
    <definedName function="false" hidden="false" name="CountryList" vbProcedure="false">OFFSET(Calc!$T$2,0,0,MAX(1,SUMPRODUCT(--(LEN(Calc!$T$2:$T$81)&gt;0))),1)</definedName>
    <definedName function="false" hidden="false" name="CTypeList" vbProcedure="false">OFFSET(Calc!$AF$2,0,0,MAX(1,SUMPRODUCT(--(LEN(Calc!$AF$2:$AF$21)&gt;0))),1)</definedName>
    <definedName function="false" hidden="false" name="DailyBudget" vbProcedure="false">Setup!$C$14</definedName>
    <definedName function="false" hidden="false" name="DayList" vbProcedure="false">OFFSET(Calc!$A$2,0,0,MAX(1,SUMPRODUCT(--(LEN(Calc!$A$2:$A$32)&gt;0))),1)</definedName>
    <definedName function="false" hidden="false" name="GroupList" vbProcedure="false">OFFSET(Calc!$K$2,0,0,MAX(1,SUMPRODUCT(--(LEN(Calc!$K$2:$K$6)&gt;0))),1)</definedName>
    <definedName function="false" hidden="false" name="HomeCcy" vbProcedure="false">Setup!$C$12</definedName>
    <definedName function="false" hidden="false" name="HomeINR" vbProcedure="false">Calc!$CC$2</definedName>
    <definedName function="false" hidden="false" name="ITypeList" vbProcedure="false">OFFSET(Calc!$AC$2,0,0,MAX(1,SUMPRODUCT(--(LEN(Calc!$AC$2:$AC$21)&gt;0))),1)</definedName>
    <definedName function="false" hidden="false" name="OriginList" vbProcedure="false">OFFSET(Calc!$AR$2,0,0,MAX(1,SUMPRODUCT(--(LEN(Calc!$AR$2:$AR$7)&gt;0))),1)</definedName>
    <definedName function="false" hidden="false" name="PayList" vbProcedure="false">OFFSET(Calc!$Z$2,0,0,MAX(1,SUMPRODUCT(--(LEN(Calc!$Z$2:$Z$16)&gt;0))),1)</definedName>
    <definedName function="false" hidden="false" name="PrioList" vbProcedure="false">Calc!$AU$2:$AU$3</definedName>
    <definedName function="false" hidden="false" name="SettleList" vbProcedure="false">Calc!$AX$2:$AX$3</definedName>
    <definedName function="false" hidden="false" name="SplitList" vbProcedure="false">OFFSET(Calc!$E$2,0,0,MAX(1,SUMPRODUCT(--(LEN(Calc!$E$2:$E$18)&gt;0))),1)</definedName>
    <definedName function="false" hidden="false" name="StatusList" vbProcedure="false">Calc!$AT$2:$AT$5</definedName>
    <definedName function="false" hidden="false" name="StyleList" vbProcedure="false">OFFSET(Calc!$AI$2,0,0,MAX(1,SUMPRODUCT(--(LEN(Calc!$AI$2:$AI$7)&gt;0))),1)</definedName>
    <definedName function="false" hidden="false" name="TodayDay" vbProcedure="false">Calc!$CC$10</definedName>
    <definedName function="false" hidden="false" name="TotalBudget" vbProcedure="false">Setup!$C$13</definedName>
    <definedName function="false" hidden="false" name="TravCount" vbProcedure="false">SUMPRODUCT(--(LEN(Setup!$B$18:$B$27)&gt;0))</definedName>
    <definedName function="false" hidden="false" name="TravList" vbProcedure="false">OFFSET(Calc!$H$2,0,0,MAX(1,SUMPRODUCT(--(LEN(Calc!$H$2:$H$11)&gt;0))),1)</definedName>
    <definedName function="false" hidden="false" name="TripDays" vbProcedure="false">Setup!$C$9</definedName>
    <definedName function="false" hidden="false" name="TripDest" vbProcedure="false">Calc!$CC$12</definedName>
    <definedName function="false" hidden="false" name="TripEnd" vbProcedure="false">Setup!$C$8</definedName>
    <definedName function="false" hidden="false" name="TripName" vbProcedure="false">Setup!$C$5</definedName>
    <definedName function="false" hidden="false" name="TripOrigin" vbProcedure="false">Setup!$C$6</definedName>
    <definedName function="false" hidden="false" name="TripStart" vbProcedure="false">Setup!$C$7</definedName>
    <definedName function="false" hidden="false" name="TripStyle" vbProcedure="false">Setup!$C$10</definedName>
    <definedName function="false" hidden="false" name="TripType" vbProcedure="false">Setup!$C$11</definedName>
    <definedName function="false" hidden="false" name="TripTypeList" vbProcedure="false">Templates!$G$4:$L$4</definedName>
    <definedName function="false" hidden="false" name="ViewIdx" vbProcedure="false">Calc!$CC$11</definedName>
    <definedName function="false" hidden="false" name="ViewList" vbProcedure="false">OFFSET(Calc!$AL$2,0,0,MAX(1,SUMPRODUCT(--(LEN(Calc!$AL$2:$AL$12)&gt;0))),1)</definedName>
    <definedName function="false" hidden="false" name="VisaList" vbProcedure="false">Calc!$AW$2:$AW$6</definedName>
    <definedName function="false" hidden="false" name="YesNo" vbProcedure="false">Calc!$AV$2:$AV$3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<sst xmlns="http://schemas.openxmlformats.org/spreadsheetml/2006/main" count="1185" uniqueCount="765">
  <si>
    <t xml:space="preserve">WTCA TRIP PLANNER</t>
  </si>
  <si>
    <t xml:space="preserve">Plan it · budget it · split it · print it.     by Walking Talking CA · @walkingtalkingca</t>
  </si>
  <si>
    <t xml:space="preserve">Get started in 3 steps</t>
  </si>
  <si>
    <t xml:space="preserve">1</t>
  </si>
  <si>
    <t xml:space="preserve">Setup  →</t>
  </si>
  <si>
    <t xml:space="preserve">Pick a country, dates and names. Budget, currency, visa rule &amp; emergency numbers fill in for you.</t>
  </si>
  <si>
    <t xml:space="preserve">2</t>
  </si>
  <si>
    <t xml:space="preserve">Expenses  →</t>
  </si>
  <si>
    <t xml:space="preserve">Add costs as you book: When, Category, What, Amount. That's it.</t>
  </si>
  <si>
    <t xml:space="preserve">3</t>
  </si>
  <si>
    <t xml:space="preserve">Print Summary  →</t>
  </si>
  <si>
    <t xml:space="preserve">Print one page for the trip (and the full itinerary if you like).</t>
  </si>
  <si>
    <t xml:space="preserve">Everything else</t>
  </si>
  <si>
    <t xml:space="preserve">✎</t>
  </si>
  <si>
    <t xml:space="preserve">Itinerary  →</t>
  </si>
  <si>
    <t xml:space="preserve">Day-by-day plan with times, places, booking refs and contacts.</t>
  </si>
  <si>
    <t xml:space="preserve">☀</t>
  </si>
  <si>
    <t xml:space="preserve">Today  →</t>
  </si>
  <si>
    <t xml:space="preserve">During the trip: today's plan, spend, and what's left per day.</t>
  </si>
  <si>
    <t xml:space="preserve">☎</t>
  </si>
  <si>
    <t xml:space="preserve">Contacts  →</t>
  </si>
  <si>
    <t xml:space="preserve">Hotels, drivers, operators and airlines in one place.</t>
  </si>
  <si>
    <t xml:space="preserve">✓</t>
  </si>
  <si>
    <t xml:space="preserve">Checklist  →</t>
  </si>
  <si>
    <t xml:space="preserve">Passports, visas, to-dos with due dates, and a packing list for your trip type.</t>
  </si>
  <si>
    <t xml:space="preserve">₹</t>
  </si>
  <si>
    <t xml:space="preserve">Savings  →</t>
  </si>
  <si>
    <t xml:space="preserve">How much each person needs to save per month.</t>
  </si>
  <si>
    <t xml:space="preserve">◔</t>
  </si>
  <si>
    <t xml:space="preserve">Dashboard  →</t>
  </si>
  <si>
    <t xml:space="preserve">Budget health, spend by category and day, alerts. Switch to any traveller.</t>
  </si>
  <si>
    <t xml:space="preserve">⇄</t>
  </si>
  <si>
    <t xml:space="preserve">Split &amp; Settle  →</t>
  </si>
  <si>
    <t xml:space="preserve">Each person's share and the fewest payments to settle up.</t>
  </si>
  <si>
    <t xml:space="preserve">⚖</t>
  </si>
  <si>
    <t xml:space="preserve">Compare  →</t>
  </si>
  <si>
    <t xml:space="preserve">Not decided yet? Compare 4 countries' all-in cost.</t>
  </si>
  <si>
    <t xml:space="preserve">🖨</t>
  </si>
  <si>
    <t xml:space="preserve">Print Itinerary  →</t>
  </si>
  <si>
    <t xml:space="preserve">The full day-by-day plan on paper.</t>
  </si>
  <si>
    <t xml:space="preserve">%</t>
  </si>
  <si>
    <t xml:space="preserve">Save on Bookings  →</t>
  </si>
  <si>
    <t xml:space="preserve">Our discount codes for tours, eSIMs and trains.</t>
  </si>
  <si>
    <t xml:space="preserve">⚙</t>
  </si>
  <si>
    <t xml:space="preserve">Settings  →</t>
  </si>
  <si>
    <t xml:space="preserve">Edit dropdown lists, categories, currencies and rates.</t>
  </si>
  <si>
    <t xml:space="preserve">How to read the cells</t>
  </si>
  <si>
    <t xml:space="preserve">Yellow</t>
  </si>
  <si>
    <t xml:space="preserve">Type here or pick from the ▼ list. Some already have a smart default you can change.</t>
  </si>
  <si>
    <t xml:space="preserve">Grey</t>
  </si>
  <si>
    <t xml:space="preserve">Calculated for you — locked.</t>
  </si>
  <si>
    <t xml:space="preserve">Green</t>
  </si>
  <si>
    <t xml:space="preserve">Done, paid or on track.</t>
  </si>
  <si>
    <t xml:space="preserve">Red</t>
  </si>
  <si>
    <t xml:space="preserve">Needs attention: overdue, expiring, over budget.</t>
  </si>
  <si>
    <t xml:space="preserve">•  Budgets, rates, visa rules and costs are rough estimates to get you started — check before you book.</t>
  </si>
  <si>
    <t xml:space="preserve">•  Works in Microsoft Excel (best) and Google Sheets (File → Import).</t>
  </si>
  <si>
    <t xml:space="preserve">•  Formulas are locked so nothing breaks by accident. Lists and country data on the grey tabs are yours to edit.</t>
  </si>
  <si>
    <t xml:space="preserve">⌂</t>
  </si>
  <si>
    <t xml:space="preserve">① Trip setup</t>
  </si>
  <si>
    <t xml:space="preserve">Only 4 things are needed: where, when, who, and where you're travelling from. Everything else is filled in for you — change anything yellow.</t>
  </si>
  <si>
    <t xml:space="preserve">Trip basics</t>
  </si>
  <si>
    <t xml:space="preserve">Where you're going</t>
  </si>
  <si>
    <t xml:space="preserve">Trip name</t>
  </si>
  <si>
    <t xml:space="preserve">Country ▼</t>
  </si>
  <si>
    <t xml:space="preserve">Days (optional)</t>
  </si>
  <si>
    <t xml:space="preserve">Days used</t>
  </si>
  <si>
    <t xml:space="preserve">Currency</t>
  </si>
  <si>
    <t xml:space="preserve">Entry rule for Indian passports</t>
  </si>
  <si>
    <t xml:space="preserve">Travelling from ▼</t>
  </si>
  <si>
    <t xml:space="preserve">India</t>
  </si>
  <si>
    <t xml:space="preserve">Start date</t>
  </si>
  <si>
    <t xml:space="preserve">End date</t>
  </si>
  <si>
    <t xml:space="preserve">Trip length (days)</t>
  </si>
  <si>
    <t xml:space="preserve">Travel style ▼</t>
  </si>
  <si>
    <t xml:space="preserve">Mid-range</t>
  </si>
  <si>
    <t xml:space="preserve">Trip type ▼</t>
  </si>
  <si>
    <t xml:space="preserve">City break</t>
  </si>
  <si>
    <t xml:space="preserve">Country</t>
  </si>
  <si>
    <t xml:space="preserve">Plug</t>
  </si>
  <si>
    <t xml:space="preserve">vs India</t>
  </si>
  <si>
    <t xml:space="preserve">Tipping</t>
  </si>
  <si>
    <t xml:space="preserve">Emergency · local tip</t>
  </si>
  <si>
    <t xml:space="preserve">Home currency ▼</t>
  </si>
  <si>
    <t xml:space="preserve">Total budget</t>
  </si>
  <si>
    <t xml:space="preserve">Daily spending budget</t>
  </si>
  <si>
    <t xml:space="preserve">Who's travelling</t>
  </si>
  <si>
    <t xml:space="preserve">Groups (optional)</t>
  </si>
  <si>
    <t xml:space="preserve">Traveller name</t>
  </si>
  <si>
    <t xml:space="preserve">Group ▼ (optional)</t>
  </si>
  <si>
    <t xml:space="preserve">In trip?</t>
  </si>
  <si>
    <t xml:space="preserve">Group name</t>
  </si>
  <si>
    <t xml:space="preserve">People</t>
  </si>
  <si>
    <t xml:space="preserve">Currencies (auto)</t>
  </si>
  <si>
    <t xml:space="preserve">Auto rate</t>
  </si>
  <si>
    <t xml:space="preserve">Your rate (optional)</t>
  </si>
  <si>
    <t xml:space="preserve">Rate used</t>
  </si>
  <si>
    <t xml:space="preserve">1 unit = ? home currency</t>
  </si>
  <si>
    <t xml:space="preserve">Just names are enough. Groups are only needed if couples/families share some costs.</t>
  </si>
  <si>
    <t xml:space="preserve">Budget (estimated for you)</t>
  </si>
  <si>
    <t xml:space="preserve">Category</t>
  </si>
  <si>
    <t xml:space="preserve">Our estimate</t>
  </si>
  <si>
    <t xml:space="preserve">Your budget (optional)</t>
  </si>
  <si>
    <t xml:space="preserve">Budget used</t>
  </si>
  <si>
    <t xml:space="preserve">USD</t>
  </si>
  <si>
    <t xml:space="preserve">EUR</t>
  </si>
  <si>
    <t xml:space="preserve">Rates as of 30 Oct 2026. Type 'Your rate' to use the rate you actually got.</t>
  </si>
  <si>
    <t xml:space="preserve">Emergency info (prints on your summary)</t>
  </si>
  <si>
    <t xml:space="preserve">Local emergency (auto)</t>
  </si>
  <si>
    <t xml:space="preserve">Indian embassy / consulate</t>
  </si>
  <si>
    <t xml:space="preserve">Travel insurance helpline</t>
  </si>
  <si>
    <t xml:space="preserve">Insurance policy number</t>
  </si>
  <si>
    <t xml:space="preserve">Emergency contact at home</t>
  </si>
  <si>
    <t xml:space="preserve">Blood group / medical notes</t>
  </si>
  <si>
    <t xml:space="preserve">Total</t>
  </si>
  <si>
    <t xml:space="preserve">Estimates use the country data, days, travellers and travel style. They're a starting point:</t>
  </si>
  <si>
    <t xml:space="preserve">type your own number in 'Your budget' to override any line.</t>
  </si>
  <si>
    <t xml:space="preserve">② Expenses</t>
  </si>
  <si>
    <t xml:space="preserve">Fill the 4 yellow essentials (When, Category, What, Amount). Everything else is optional. Blank Split = everyone, blank Currency = home, blank Status = Planning.</t>
  </si>
  <si>
    <t xml:space="preserve">Planned:</t>
  </si>
  <si>
    <t xml:space="preserve">Actual:</t>
  </si>
  <si>
    <t xml:space="preserve">Budget:</t>
  </si>
  <si>
    <t xml:space="preserve">Left:</t>
  </si>
  <si>
    <t xml:space="preserve">ESSENTIALS</t>
  </si>
  <si>
    <t xml:space="preserve">MORE DETAILS (optional)</t>
  </si>
  <si>
    <t xml:space="preserve">CALCULATED FOR YOU</t>
  </si>
  <si>
    <t xml:space="preserve">CUSTOM SPLIT · only when Split = Custom · type shares (1 = one share)</t>
  </si>
  <si>
    <t xml:space="preserve">When ▼</t>
  </si>
  <si>
    <t xml:space="preserve">Category ▼</t>
  </si>
  <si>
    <t xml:space="preserve">What is it?</t>
  </si>
  <si>
    <t xml:space="preserve">Amount</t>
  </si>
  <si>
    <t xml:space="preserve">Currency ▼</t>
  </si>
  <si>
    <t xml:space="preserve">Paid by ▼</t>
  </si>
  <si>
    <t xml:space="preserve">Split between ▼</t>
  </si>
  <si>
    <t xml:space="preserve">Status ▼</t>
  </si>
  <si>
    <t xml:space="preserve">Actual (if different)</t>
  </si>
  <si>
    <t xml:space="preserve">Must / Optional ▼</t>
  </si>
  <si>
    <t xml:space="preserve">Pay by date</t>
  </si>
  <si>
    <t xml:space="preserve">Pay mode ▼</t>
  </si>
  <si>
    <t xml:space="preserve">Booking ref / notes</t>
  </si>
  <si>
    <t xml:space="preserve">Day</t>
  </si>
  <si>
    <t xml:space="preserve">Date</t>
  </si>
  <si>
    <t xml:space="preserve">Rate</t>
  </si>
  <si>
    <t xml:space="preserve">Split check</t>
  </si>
  <si>
    <t xml:space="preserve">③ Itinerary</t>
  </si>
  <si>
    <t xml:space="preserve">Pick the day, type the plan. Rows can go in any order; the Today and Print tabs sort them by day and time.</t>
  </si>
  <si>
    <t xml:space="preserve">Time</t>
  </si>
  <si>
    <t xml:space="preserve">Place</t>
  </si>
  <si>
    <t xml:space="preserve">Plan / activity</t>
  </si>
  <si>
    <t xml:space="preserve">Type ▼</t>
  </si>
  <si>
    <t xml:space="preserve">Booking ref</t>
  </si>
  <si>
    <t xml:space="preserve">Contact ▼</t>
  </si>
  <si>
    <t xml:space="preserve">Notes</t>
  </si>
  <si>
    <t xml:space="preserve">Done? ▼</t>
  </si>
  <si>
    <t xml:space="preserve">Contact phone</t>
  </si>
  <si>
    <t xml:space="preserve">Today</t>
  </si>
  <si>
    <t xml:space="preserve">Pick a day (it jumps to today automatically during the trip) to see the plan, the spend and what's left.</t>
  </si>
  <si>
    <t xml:space="preserve">Day ▼</t>
  </si>
  <si>
    <t xml:space="preserve">PLANNED TODAY</t>
  </si>
  <si>
    <t xml:space="preserve">PAID TODAY</t>
  </si>
  <si>
    <t xml:space="preserve">DAILY BUDGET</t>
  </si>
  <si>
    <t xml:space="preserve">LEFT PER DAY (REST OF TRIP)</t>
  </si>
  <si>
    <t xml:space="preserve">The plan</t>
  </si>
  <si>
    <t xml:space="preserve">Plan</t>
  </si>
  <si>
    <t xml:space="preserve">Contact</t>
  </si>
  <si>
    <t xml:space="preserve">Phone</t>
  </si>
  <si>
    <t xml:space="preserve">Spending this day</t>
  </si>
  <si>
    <t xml:space="preserve">What</t>
  </si>
  <si>
    <t xml:space="preserve">Cost</t>
  </si>
  <si>
    <t xml:space="preserve">Paid by</t>
  </si>
  <si>
    <t xml:space="preserve">Status</t>
  </si>
  <si>
    <t xml:space="preserve">④ Contacts &amp; bookings</t>
  </si>
  <si>
    <t xml:space="preserve">Hotels, drivers, operators, airlines. Everything with a name prints on your summary unless you set the last column to No.</t>
  </si>
  <si>
    <t xml:space="preserve">Name / company</t>
  </si>
  <si>
    <t xml:space="preserve">Contact person</t>
  </si>
  <si>
    <t xml:space="preserve">Phone / WhatsApp</t>
  </si>
  <si>
    <t xml:space="preserve">Email</t>
  </si>
  <si>
    <t xml:space="preserve">Address</t>
  </si>
  <si>
    <t xml:space="preserve">City</t>
  </si>
  <si>
    <t xml:space="preserve">Dates</t>
  </si>
  <si>
    <t xml:space="preserve">On summary? ▼</t>
  </si>
  <si>
    <t xml:space="preserve">⑤ Checklist</t>
  </si>
  <si>
    <t xml:space="preserve">Due dates come from your trip start. To-dos and packing come from the Templates tab and your trip type.</t>
  </si>
  <si>
    <t xml:space="preserve">Travel documents</t>
  </si>
  <si>
    <t xml:space="preserve">Traveller</t>
  </si>
  <si>
    <t xml:space="preserve">Passport expiry</t>
  </si>
  <si>
    <t xml:space="preserve">Passport OK?</t>
  </si>
  <si>
    <t xml:space="preserve">Visa status ▼</t>
  </si>
  <si>
    <t xml:space="preserve">Insurance? ▼</t>
  </si>
  <si>
    <t xml:space="preserve">To-do before you go</t>
  </si>
  <si>
    <t xml:space="preserve">Packing list</t>
  </si>
  <si>
    <t xml:space="preserve">Task</t>
  </si>
  <si>
    <t xml:space="preserve">Owner ▼</t>
  </si>
  <si>
    <t xml:space="preserve">Due date</t>
  </si>
  <si>
    <t xml:space="preserve">Days left</t>
  </si>
  <si>
    <t xml:space="preserve">Tip</t>
  </si>
  <si>
    <t xml:space="preserve">Item (from your trip type)</t>
  </si>
  <si>
    <t xml:space="preserve">For ▼</t>
  </si>
  <si>
    <t xml:space="preserve">Packed? ▼</t>
  </si>
  <si>
    <t xml:space="preserve">Rows above come from Templates. Use the last 10 rows (white-yellow) for your own tasks.</t>
  </si>
  <si>
    <t xml:space="preserve">Last 10 rows are for your own items. Changing trip type changes the list, so tick items after you've picked it.</t>
  </si>
  <si>
    <t xml:space="preserve">Savings plan</t>
  </si>
  <si>
    <t xml:space="preserve">How much each person needs to put aside before the trip. Type only what you've saved so far.</t>
  </si>
  <si>
    <t xml:space="preserve">Trip share</t>
  </si>
  <si>
    <t xml:space="preserve">Saved so far</t>
  </si>
  <si>
    <t xml:space="preserve">Still to save</t>
  </si>
  <si>
    <t xml:space="preserve">Save per month</t>
  </si>
  <si>
    <t xml:space="preserve">Save per week</t>
  </si>
  <si>
    <t xml:space="preserve">Progress</t>
  </si>
  <si>
    <t xml:space="preserve">Tip: set up a monthly standing transfer to a separate 'trip' account for the per-month amount.</t>
  </si>
  <si>
    <t xml:space="preserve">View ▼</t>
  </si>
  <si>
    <t xml:space="preserve">Whole trip</t>
  </si>
  <si>
    <t xml:space="preserve">← switch to any traveller to see just their numbers</t>
  </si>
  <si>
    <t xml:space="preserve">Budget by category</t>
  </si>
  <si>
    <t xml:space="preserve">Budget</t>
  </si>
  <si>
    <t xml:space="preserve">Expected</t>
  </si>
  <si>
    <t xml:space="preserve">Left</t>
  </si>
  <si>
    <t xml:space="preserve">Used</t>
  </si>
  <si>
    <t xml:space="preserve">Heads-up</t>
  </si>
  <si>
    <t xml:space="preserve">Who pays whom</t>
  </si>
  <si>
    <t xml:space="preserve">Day by day</t>
  </si>
  <si>
    <t xml:space="preserve">Daily budget</t>
  </si>
  <si>
    <t xml:space="preserve">Paid</t>
  </si>
  <si>
    <t xml:space="preserve">Daily = day-to-day categories only (stay, food, transport, activities…). Flights &amp; pre-trip costs aren't counted per day.</t>
  </si>
  <si>
    <t xml:space="preserve">Split &amp; settle-up</t>
  </si>
  <si>
    <t xml:space="preserve">Who pays what, and the fewest payments to settle up. Counts items marked Paid.</t>
  </si>
  <si>
    <t xml:space="preserve">Settle by ▼</t>
  </si>
  <si>
    <t xml:space="preserve">Positive balance = gets money back. Negative = owes.</t>
  </si>
  <si>
    <t xml:space="preserve">Group</t>
  </si>
  <si>
    <t xml:space="preserve">Share of paid items</t>
  </si>
  <si>
    <t xml:space="preserve">Paid by them</t>
  </si>
  <si>
    <t xml:space="preserve">Balance</t>
  </si>
  <si>
    <t xml:space="preserve">By group</t>
  </si>
  <si>
    <t xml:space="preserve">Who pays whom (fewest payments)</t>
  </si>
  <si>
    <t xml:space="preserve">#</t>
  </si>
  <si>
    <t xml:space="preserve">Payment</t>
  </si>
  <si>
    <t xml:space="preserve">Who pays for what (trip share by category)</t>
  </si>
  <si>
    <t xml:space="preserve">Compare destinations</t>
  </si>
  <si>
    <t xml:space="preserve">Not sure where to go? Pick up to 4 countries and see the rough all-in cost side by side.</t>
  </si>
  <si>
    <t xml:space="preserve">Days</t>
  </si>
  <si>
    <t xml:space="preserve">Travellers</t>
  </si>
  <si>
    <t xml:space="preserve">Vietnam</t>
  </si>
  <si>
    <t xml:space="preserve">Georgia</t>
  </si>
  <si>
    <t xml:space="preserve">Japan</t>
  </si>
  <si>
    <t xml:space="preserve">Flights (return)</t>
  </si>
  <si>
    <t xml:space="preserve">Stays</t>
  </si>
  <si>
    <t xml:space="preserve">Food</t>
  </si>
  <si>
    <t xml:space="preserve">Local transport</t>
  </si>
  <si>
    <t xml:space="preserve">Activities</t>
  </si>
  <si>
    <t xml:space="preserve">Visa</t>
  </si>
  <si>
    <t xml:space="preserve">Insurance</t>
  </si>
  <si>
    <t xml:space="preserve">eSIM</t>
  </si>
  <si>
    <t xml:space="preserve">TOTAL</t>
  </si>
  <si>
    <t xml:space="preserve">Per person</t>
  </si>
  <si>
    <t xml:space="preserve">Per person per day</t>
  </si>
  <si>
    <t xml:space="preserve">Cheapest?</t>
  </si>
  <si>
    <t xml:space="preserve">Entry for Indian passports</t>
  </si>
  <si>
    <t xml:space="preserve">Time vs India</t>
  </si>
  <si>
    <t xml:space="preserve">Emergency</t>
  </si>
  <si>
    <t xml:space="preserve">WTCA tip</t>
  </si>
  <si>
    <t xml:space="preserve">Rough mid-range estimates from the Country Data tab, in your home currency. Edit that tab to match your own costs.</t>
  </si>
  <si>
    <t xml:space="preserve">Expected cost</t>
  </si>
  <si>
    <t xml:space="preserve">Paid so far</t>
  </si>
  <si>
    <t xml:space="preserve">Left in budget</t>
  </si>
  <si>
    <t xml:space="preserve">Where the money goes</t>
  </si>
  <si>
    <t xml:space="preserve">Name</t>
  </si>
  <si>
    <t xml:space="preserve">Share</t>
  </si>
  <si>
    <t xml:space="preserve">Destination info</t>
  </si>
  <si>
    <t xml:space="preserve">Entry</t>
  </si>
  <si>
    <t xml:space="preserve">Day-by-day plan</t>
  </si>
  <si>
    <t xml:space="preserve">Key contacts</t>
  </si>
  <si>
    <t xml:space="preserve">Type</t>
  </si>
  <si>
    <t xml:space="preserve">Name · ref</t>
  </si>
  <si>
    <t xml:space="preserve">Details</t>
  </si>
  <si>
    <t xml:space="preserve">Local emergency</t>
  </si>
  <si>
    <t xml:space="preserve">Planned with the WTCA Trip Planner · discount codes at walkingtalkingca.com/deals · @walkingtalkingca</t>
  </si>
  <si>
    <t xml:space="preserve">Contact / phone</t>
  </si>
  <si>
    <t xml:space="preserve">💸 Save on your bookings</t>
  </si>
  <si>
    <t xml:space="preserve">Codes from the travel apps we use ourselves. Click Open, paste the code at checkout.</t>
  </si>
  <si>
    <t xml:space="preserve">Brand</t>
  </si>
  <si>
    <t xml:space="preserve">Use it for</t>
  </si>
  <si>
    <t xml:space="preserve">Code</t>
  </si>
  <si>
    <t xml:space="preserve">Saving</t>
  </si>
  <si>
    <t xml:space="preserve">How to use</t>
  </si>
  <si>
    <t xml:space="preserve">Link</t>
  </si>
  <si>
    <t xml:space="preserve">GetYourGuide</t>
  </si>
  <si>
    <t xml:space="preserve">Tours, tickets, day trips</t>
  </si>
  <si>
    <t xml:space="preserve">WALKINGTALKINGCA5</t>
  </si>
  <si>
    <t xml:space="preserve">5% off</t>
  </si>
  <si>
    <t xml:space="preserve">Get the app with our link first, then add the code at checkout</t>
  </si>
  <si>
    <t xml:space="preserve">Open →</t>
  </si>
  <si>
    <t xml:space="preserve">Airalo</t>
  </si>
  <si>
    <t xml:space="preserve">eSIM data in 200+ countries</t>
  </si>
  <si>
    <t xml:space="preserve">WTCA</t>
  </si>
  <si>
    <t xml:space="preserve">10% off</t>
  </si>
  <si>
    <t xml:space="preserve">Install before you fly; switch on when you land</t>
  </si>
  <si>
    <t xml:space="preserve">Omio</t>
  </si>
  <si>
    <t xml:space="preserve">Trains, buses, ferries (new app users)</t>
  </si>
  <si>
    <t xml:space="preserve">APPNEW10</t>
  </si>
  <si>
    <t xml:space="preserve">New customers, app only, baskets up to €80</t>
  </si>
  <si>
    <t xml:space="preserve">Omio Savings Pass</t>
  </si>
  <si>
    <t xml:space="preserve">Frequent train &amp; bus travel</t>
  </si>
  <si>
    <t xml:space="preserve">No code</t>
  </si>
  <si>
    <t xml:space="preserve">10% every trip</t>
  </si>
  <si>
    <t xml:space="preserve">Get the pass through the link</t>
  </si>
  <si>
    <t xml:space="preserve">Pelago (Singapore Airlines)</t>
  </si>
  <si>
    <t xml:space="preserve">Activities, great for Asia</t>
  </si>
  <si>
    <t xml:space="preserve">APP10</t>
  </si>
  <si>
    <t xml:space="preserve">New app users, min spend SGD 80, max SGD 10 off</t>
  </si>
  <si>
    <t xml:space="preserve">RentalCover</t>
  </si>
  <si>
    <t xml:space="preserve">Rental car excess insurance</t>
  </si>
  <si>
    <t xml:space="preserve">No code yet</t>
  </si>
  <si>
    <t xml:space="preserve">Cheaper than desk cover</t>
  </si>
  <si>
    <t xml:space="preserve">Buy before you pick up the car</t>
  </si>
  <si>
    <t xml:space="preserve">All deals</t>
  </si>
  <si>
    <t xml:space="preserve">Latest codes &amp; new partners</t>
  </si>
  <si>
    <t xml:space="preserve">Codes change; this page is always current</t>
  </si>
  <si>
    <t xml:space="preserve">We may earn a small commission when you book through these links, at no extra cost to you. Codes are set by each brand and can change.</t>
  </si>
  <si>
    <t xml:space="preserve">Settings &amp; dropdown lists</t>
  </si>
  <si>
    <t xml:space="preserve">Edit freely: add, rename or remove items. Dropdowns update automatically. Keep each list filled from the top with no gaps.</t>
  </si>
  <si>
    <t xml:space="preserve">Expense categories</t>
  </si>
  <si>
    <t xml:space="preserve">In daily budget?</t>
  </si>
  <si>
    <t xml:space="preserve">Payment modes</t>
  </si>
  <si>
    <t xml:space="preserve">Itinerary types</t>
  </si>
  <si>
    <t xml:space="preserve">Contact types</t>
  </si>
  <si>
    <t xml:space="preserve">Travel style</t>
  </si>
  <si>
    <t xml:space="preserve">Spend ×</t>
  </si>
  <si>
    <t xml:space="preserve">Flights ×</t>
  </si>
  <si>
    <t xml:space="preserve">Travelling from</t>
  </si>
  <si>
    <t xml:space="preserve">Home currency</t>
  </si>
  <si>
    <t xml:space="preserve">Flight prices from</t>
  </si>
  <si>
    <t xml:space="preserve">₹ per 1 unit</t>
  </si>
  <si>
    <t xml:space="preserve">Flights</t>
  </si>
  <si>
    <t xml:space="preserve">No</t>
  </si>
  <si>
    <t xml:space="preserve">Card</t>
  </si>
  <si>
    <t xml:space="preserve">Flight</t>
  </si>
  <si>
    <t xml:space="preserve">Hotel / stay</t>
  </si>
  <si>
    <t xml:space="preserve">Backpacker</t>
  </si>
  <si>
    <t xml:space="preserve">INR</t>
  </si>
  <si>
    <t xml:space="preserve">Indian rupee</t>
  </si>
  <si>
    <t xml:space="preserve">Accommodation</t>
  </si>
  <si>
    <t xml:space="preserve">Yes</t>
  </si>
  <si>
    <t xml:space="preserve">Forex card</t>
  </si>
  <si>
    <t xml:space="preserve">Transfer</t>
  </si>
  <si>
    <t xml:space="preserve">Tour operator</t>
  </si>
  <si>
    <t xml:space="preserve">UAE</t>
  </si>
  <si>
    <t xml:space="preserve">AED</t>
  </si>
  <si>
    <t xml:space="preserve">UAE dirham</t>
  </si>
  <si>
    <t xml:space="preserve">Cash</t>
  </si>
  <si>
    <t xml:space="preserve">Check-in / out</t>
  </si>
  <si>
    <t xml:space="preserve">Driver / transfer</t>
  </si>
  <si>
    <t xml:space="preserve">Other</t>
  </si>
  <si>
    <t xml:space="preserve">US dollar</t>
  </si>
  <si>
    <t xml:space="preserve">Car rental &amp; fuel</t>
  </si>
  <si>
    <t xml:space="preserve">UPI</t>
  </si>
  <si>
    <t xml:space="preserve">Activity</t>
  </si>
  <si>
    <t xml:space="preserve">Airline</t>
  </si>
  <si>
    <t xml:space="preserve">Comfort</t>
  </si>
  <si>
    <t xml:space="preserve">Euro</t>
  </si>
  <si>
    <t xml:space="preserve">Trains &amp; buses</t>
  </si>
  <si>
    <t xml:space="preserve">Bank transfer</t>
  </si>
  <si>
    <t xml:space="preserve">Sightseeing</t>
  </si>
  <si>
    <t xml:space="preserve">Car rental</t>
  </si>
  <si>
    <t xml:space="preserve">Luxury</t>
  </si>
  <si>
    <t xml:space="preserve">GBP</t>
  </si>
  <si>
    <t xml:space="preserve">British pound</t>
  </si>
  <si>
    <t xml:space="preserve">Tours &amp; activities</t>
  </si>
  <si>
    <t xml:space="preserve">Online / app</t>
  </si>
  <si>
    <t xml:space="preserve">Restaurant</t>
  </si>
  <si>
    <t xml:space="preserve">SGD</t>
  </si>
  <si>
    <t xml:space="preserve">Singapore dollar</t>
  </si>
  <si>
    <t xml:space="preserve">Attraction tickets</t>
  </si>
  <si>
    <t xml:space="preserve">Wallet</t>
  </si>
  <si>
    <t xml:space="preserve">Shopping</t>
  </si>
  <si>
    <t xml:space="preserve">Guide</t>
  </si>
  <si>
    <t xml:space="preserve">THB</t>
  </si>
  <si>
    <t xml:space="preserve">Thai baht</t>
  </si>
  <si>
    <t xml:space="preserve">Food &amp; dining</t>
  </si>
  <si>
    <t xml:space="preserve">Free time</t>
  </si>
  <si>
    <t xml:space="preserve">Travel insurance</t>
  </si>
  <si>
    <t xml:space="preserve">MYR</t>
  </si>
  <si>
    <t xml:space="preserve">Malaysian ringgit</t>
  </si>
  <si>
    <t xml:space="preserve">Groceries &amp; snacks</t>
  </si>
  <si>
    <t xml:space="preserve">Travel day</t>
  </si>
  <si>
    <t xml:space="preserve">Embassy / consulate</t>
  </si>
  <si>
    <t xml:space="preserve">IDR</t>
  </si>
  <si>
    <t xml:space="preserve">Indonesian rupiah</t>
  </si>
  <si>
    <t xml:space="preserve">Shopping &amp; souvenirs</t>
  </si>
  <si>
    <t xml:space="preserve">VND</t>
  </si>
  <si>
    <t xml:space="preserve">Vietnamese dong (est)</t>
  </si>
  <si>
    <t xml:space="preserve">Visa &amp; documents</t>
  </si>
  <si>
    <t xml:space="preserve">LKR</t>
  </si>
  <si>
    <t xml:space="preserve">Sri Lankan rupee</t>
  </si>
  <si>
    <t xml:space="preserve">MVR</t>
  </si>
  <si>
    <t xml:space="preserve">Maldivian rufiyaa (est)</t>
  </si>
  <si>
    <t xml:space="preserve">SIM / eSIM &amp; internet</t>
  </si>
  <si>
    <t xml:space="preserve">NPR</t>
  </si>
  <si>
    <t xml:space="preserve">Nepalese rupee</t>
  </si>
  <si>
    <t xml:space="preserve">Forex &amp; bank fees</t>
  </si>
  <si>
    <t xml:space="preserve">JPY</t>
  </si>
  <si>
    <t xml:space="preserve">Japanese yen</t>
  </si>
  <si>
    <t xml:space="preserve">Tips &amp; service</t>
  </si>
  <si>
    <t xml:space="preserve">KRW</t>
  </si>
  <si>
    <t xml:space="preserve">South Korean won</t>
  </si>
  <si>
    <t xml:space="preserve">Health &amp; pharmacy</t>
  </si>
  <si>
    <t xml:space="preserve">HKD</t>
  </si>
  <si>
    <t xml:space="preserve">Hong Kong dollar</t>
  </si>
  <si>
    <t xml:space="preserve">Emergency / misc</t>
  </si>
  <si>
    <t xml:space="preserve">PHP</t>
  </si>
  <si>
    <t xml:space="preserve">Philippine peso</t>
  </si>
  <si>
    <t xml:space="preserve">KZT</t>
  </si>
  <si>
    <t xml:space="preserve">Kazakhstani tenge</t>
  </si>
  <si>
    <t xml:space="preserve">GEL</t>
  </si>
  <si>
    <t xml:space="preserve">Georgian lari (est)</t>
  </si>
  <si>
    <t xml:space="preserve">AZN</t>
  </si>
  <si>
    <t xml:space="preserve">Azerbaijani manat (est)</t>
  </si>
  <si>
    <t xml:space="preserve">TRY</t>
  </si>
  <si>
    <t xml:space="preserve">Turkish lira</t>
  </si>
  <si>
    <t xml:space="preserve">OMR</t>
  </si>
  <si>
    <t xml:space="preserve">Omani rial</t>
  </si>
  <si>
    <t xml:space="preserve">QAR</t>
  </si>
  <si>
    <t xml:space="preserve">Qatari riyal</t>
  </si>
  <si>
    <t xml:space="preserve">SAR</t>
  </si>
  <si>
    <t xml:space="preserve">Saudi riyal</t>
  </si>
  <si>
    <t xml:space="preserve">BHD</t>
  </si>
  <si>
    <t xml:space="preserve">Bahraini dinar</t>
  </si>
  <si>
    <t xml:space="preserve">KWD</t>
  </si>
  <si>
    <t xml:space="preserve">Kuwaiti dinar</t>
  </si>
  <si>
    <t xml:space="preserve">Our budget estimates follow this order (row 1 = flights …). Rename freely; extra rows get no estimate.</t>
  </si>
  <si>
    <t xml:space="preserve">EGP</t>
  </si>
  <si>
    <t xml:space="preserve">Egyptian pound (est)</t>
  </si>
  <si>
    <t xml:space="preserve">MUR</t>
  </si>
  <si>
    <t xml:space="preserve">Mauritian rupee</t>
  </si>
  <si>
    <t xml:space="preserve">CHF</t>
  </si>
  <si>
    <t xml:space="preserve">Swiss franc</t>
  </si>
  <si>
    <t xml:space="preserve">CZK</t>
  </si>
  <si>
    <t xml:space="preserve">Czech koruna</t>
  </si>
  <si>
    <t xml:space="preserve">HUF</t>
  </si>
  <si>
    <t xml:space="preserve">Hungarian forint</t>
  </si>
  <si>
    <t xml:space="preserve">PLN</t>
  </si>
  <si>
    <t xml:space="preserve">Polish zloty</t>
  </si>
  <si>
    <t xml:space="preserve">NOK</t>
  </si>
  <si>
    <t xml:space="preserve">Norwegian krone</t>
  </si>
  <si>
    <t xml:space="preserve">SEK</t>
  </si>
  <si>
    <t xml:space="preserve">Swedish krona</t>
  </si>
  <si>
    <t xml:space="preserve">DKK</t>
  </si>
  <si>
    <t xml:space="preserve">Danish krone</t>
  </si>
  <si>
    <t xml:space="preserve">ISK</t>
  </si>
  <si>
    <t xml:space="preserve">Icelandic krona</t>
  </si>
  <si>
    <t xml:space="preserve">CAD</t>
  </si>
  <si>
    <t xml:space="preserve">Canadian dollar</t>
  </si>
  <si>
    <t xml:space="preserve">AUD</t>
  </si>
  <si>
    <t xml:space="preserve">Australian dollar</t>
  </si>
  <si>
    <t xml:space="preserve">NZD</t>
  </si>
  <si>
    <t xml:space="preserve">New Zealand dollar</t>
  </si>
  <si>
    <t xml:space="preserve">CNY</t>
  </si>
  <si>
    <t xml:space="preserve">Chinese yuan</t>
  </si>
  <si>
    <t xml:space="preserve">ZAR</t>
  </si>
  <si>
    <t xml:space="preserve">South African rand</t>
  </si>
  <si>
    <t xml:space="preserve">Rates: x-rates.com, 30 Oct 2026; (est) via USD cross rate. Update any time; every tab follows.</t>
  </si>
  <si>
    <t xml:space="preserve">Country data</t>
  </si>
  <si>
    <t xml:space="preserve">Pre-filled so you type less. Edit or add countries (up to 80). Costs are rough mid-range estimates in ₹ per person (Oct 2026) — always check before you book.</t>
  </si>
  <si>
    <t xml:space="preserve">Region</t>
  </si>
  <si>
    <t xml:space="preserve">Emergency numbers</t>
  </si>
  <si>
    <t xml:space="preserve">Visa cost ₹ pp (est)</t>
  </si>
  <si>
    <t xml:space="preserve">Plug types</t>
  </si>
  <si>
    <t xml:space="preserve">Hours vs India</t>
  </si>
  <si>
    <t xml:space="preserve">Flight ₹ pp rtn from India</t>
  </si>
  <si>
    <t xml:space="preserve">Flight ₹ pp rtn from UAE</t>
  </si>
  <si>
    <t xml:space="preserve">Stay ₹ pp/night</t>
  </si>
  <si>
    <t xml:space="preserve">Food ₹ pp/day</t>
  </si>
  <si>
    <t xml:space="preserve">Local transport ₹ pp/day</t>
  </si>
  <si>
    <t xml:space="preserve">Activities ₹ pp/day</t>
  </si>
  <si>
    <t xml:space="preserve">Insurance ₹ pp/day</t>
  </si>
  <si>
    <t xml:space="preserve">eSIM ₹ pp</t>
  </si>
  <si>
    <t xml:space="preserve">Thailand</t>
  </si>
  <si>
    <t xml:space="preserve">Asia</t>
  </si>
  <si>
    <t xml:space="preserve">191 police · 1669 ambulance</t>
  </si>
  <si>
    <t xml:space="preserve">Visa-free 30 days · file TDAC arrival card online</t>
  </si>
  <si>
    <t xml:space="preserve">A/B/C/O</t>
  </si>
  <si>
    <t xml:space="preserve">Not expected; round up</t>
  </si>
  <si>
    <t xml:space="preserve">Grab works everywhere; 7-Eleven for snacks &amp; top-ups</t>
  </si>
  <si>
    <t xml:space="preserve">Indonesia</t>
  </si>
  <si>
    <t xml:space="preserve">112</t>
  </si>
  <si>
    <t xml:space="preserve">Visa on arrival / e-VOA, 30 days</t>
  </si>
  <si>
    <t xml:space="preserve">C/F</t>
  </si>
  <si>
    <t xml:space="preserve">Service often included</t>
  </si>
  <si>
    <t xml:space="preserve">Buy the e-VOA online to skip the airport queue</t>
  </si>
  <si>
    <t xml:space="preserve">113 police · 115 ambulance</t>
  </si>
  <si>
    <t xml:space="preserve">e-Visa, up to 90 days</t>
  </si>
  <si>
    <t xml:space="preserve">A/C</t>
  </si>
  <si>
    <t xml:space="preserve">Not expected; appreciated</t>
  </si>
  <si>
    <t xml:space="preserve">Grab for rides; carry small notes</t>
  </si>
  <si>
    <t xml:space="preserve">Malaysia</t>
  </si>
  <si>
    <t xml:space="preserve">999</t>
  </si>
  <si>
    <t xml:space="preserve">Visa-free 30 days (to 31 Dec 2026) · submit MDAC</t>
  </si>
  <si>
    <t xml:space="preserve">G</t>
  </si>
  <si>
    <t xml:space="preserve">Not expected</t>
  </si>
  <si>
    <t xml:space="preserve">Touch 'n Go card for transit and tolls</t>
  </si>
  <si>
    <t xml:space="preserve">Singapore</t>
  </si>
  <si>
    <t xml:space="preserve">999 police · 995 ambulance</t>
  </si>
  <si>
    <t xml:space="preserve">Visa needed · apply via an authorised agent</t>
  </si>
  <si>
    <t xml:space="preserve">Not expected (service charge on bill)</t>
  </si>
  <si>
    <t xml:space="preserve">Tap your contactless card on MRT and buses</t>
  </si>
  <si>
    <t xml:space="preserve">Sri Lanka</t>
  </si>
  <si>
    <t xml:space="preserve">119 police · 1990 ambulance</t>
  </si>
  <si>
    <t xml:space="preserve">Free ETA, 30 days (apply online)</t>
  </si>
  <si>
    <t xml:space="preserve">D/G</t>
  </si>
  <si>
    <t xml:space="preserve">10% service charge common</t>
  </si>
  <si>
    <t xml:space="preserve">Book the Kandy–Ella train early</t>
  </si>
  <si>
    <t xml:space="preserve">Maldives</t>
  </si>
  <si>
    <t xml:space="preserve">119 police · 102 ambulance</t>
  </si>
  <si>
    <t xml:space="preserve">Visa-free on arrival, 30 days</t>
  </si>
  <si>
    <t xml:space="preserve">Service charge + tax on bills</t>
  </si>
  <si>
    <t xml:space="preserve">Local islands cost a fraction of resorts</t>
  </si>
  <si>
    <t xml:space="preserve">Nepal</t>
  </si>
  <si>
    <t xml:space="preserve">100 police · 102 ambulance</t>
  </si>
  <si>
    <t xml:space="preserve">No visa needed for Indian citizens</t>
  </si>
  <si>
    <t xml:space="preserve">C/D/M</t>
  </si>
  <si>
    <t xml:space="preserve">Carry Indian ID; INR 100 notes widely accepted</t>
  </si>
  <si>
    <t xml:space="preserve">110 police · 119 ambulance</t>
  </si>
  <si>
    <t xml:space="preserve">e-Visa (apply via VFS)</t>
  </si>
  <si>
    <t xml:space="preserve">A/B</t>
  </si>
  <si>
    <t xml:space="preserve">No tipping</t>
  </si>
  <si>
    <t xml:space="preserve">Add a Suica/ICOCA card to your phone</t>
  </si>
  <si>
    <t xml:space="preserve">South Korea</t>
  </si>
  <si>
    <t xml:space="preserve">112 police · 119 ambulance</t>
  </si>
  <si>
    <t xml:space="preserve">Visa needed</t>
  </si>
  <si>
    <t xml:space="preserve">T-money card for metro and buses</t>
  </si>
  <si>
    <t xml:space="preserve">Hong Kong</t>
  </si>
  <si>
    <t xml:space="preserve">Free pre-arrival registration, 14 days</t>
  </si>
  <si>
    <t xml:space="preserve">10% service charge</t>
  </si>
  <si>
    <t xml:space="preserve">Octopus card for everything</t>
  </si>
  <si>
    <t xml:space="preserve">Philippines</t>
  </si>
  <si>
    <t xml:space="preserve">911</t>
  </si>
  <si>
    <t xml:space="preserve">Visa-free 14 days</t>
  </si>
  <si>
    <t xml:space="preserve">A/B/C</t>
  </si>
  <si>
    <t xml:space="preserve">Service charge common</t>
  </si>
  <si>
    <t xml:space="preserve">Book island ferries a day ahead</t>
  </si>
  <si>
    <t xml:space="preserve">Kazakhstan</t>
  </si>
  <si>
    <t xml:space="preserve">Central Asia</t>
  </si>
  <si>
    <t xml:space="preserve">~10% in restaurants</t>
  </si>
  <si>
    <t xml:space="preserve">Use Yandex Go for taxis in Almaty</t>
  </si>
  <si>
    <t xml:space="preserve">Caucasus</t>
  </si>
  <si>
    <t xml:space="preserve">e-Visa · visa-free with valid US/UK/Schengen/GCC visa or residence</t>
  </si>
  <si>
    <t xml:space="preserve">~10% often added</t>
  </si>
  <si>
    <t xml:space="preserve">Bolt for taxis; day trip to Kazbegi</t>
  </si>
  <si>
    <t xml:space="preserve">Azerbaijan</t>
  </si>
  <si>
    <t xml:space="preserve">e-Visa (ASAN), 30 days</t>
  </si>
  <si>
    <t xml:space="preserve">~10%</t>
  </si>
  <si>
    <t xml:space="preserve">BakuCard for metro and buses</t>
  </si>
  <si>
    <t xml:space="preserve">Türkiye</t>
  </si>
  <si>
    <t xml:space="preserve">Europe</t>
  </si>
  <si>
    <t xml:space="preserve">Visa needed · e-Visa only with valid US/UK/Schengen/Irish visa</t>
  </si>
  <si>
    <t xml:space="preserve">5–10%</t>
  </si>
  <si>
    <t xml:space="preserve">Istanbulkart for trams, ferries and metro</t>
  </si>
  <si>
    <t xml:space="preserve">Middle East</t>
  </si>
  <si>
    <t xml:space="preserve">999 police · 998 ambulance</t>
  </si>
  <si>
    <t xml:space="preserve">Visa needed · on arrival with valid US/UK/EU visa</t>
  </si>
  <si>
    <t xml:space="preserve">Not expected; 10% appreciated</t>
  </si>
  <si>
    <t xml:space="preserve">Nol card for the metro; book desert safaris ahead</t>
  </si>
  <si>
    <t xml:space="preserve">Oman</t>
  </si>
  <si>
    <t xml:space="preserve">9999</t>
  </si>
  <si>
    <t xml:space="preserve">e-Visa needed</t>
  </si>
  <si>
    <t xml:space="preserve">Rent a car — public transport is limited</t>
  </si>
  <si>
    <t xml:space="preserve">Qatar</t>
  </si>
  <si>
    <t xml:space="preserve">Visa-free 30 days (hotel via Discover Qatar)</t>
  </si>
  <si>
    <t xml:space="preserve">10–15%</t>
  </si>
  <si>
    <t xml:space="preserve">Doha Metro is cheap and clean</t>
  </si>
  <si>
    <t xml:space="preserve">Saudi Arabia</t>
  </si>
  <si>
    <t xml:space="preserve">Visa needed · on arrival with valid US/UK/Schengen visa</t>
  </si>
  <si>
    <t xml:space="preserve">Uber and Careem work well</t>
  </si>
  <si>
    <t xml:space="preserve">Egypt</t>
  </si>
  <si>
    <t xml:space="preserve">Africa</t>
  </si>
  <si>
    <t xml:space="preserve">122 police · 123 ambulance</t>
  </si>
  <si>
    <t xml:space="preserve">e-Visa, 30 days</t>
  </si>
  <si>
    <t xml:space="preserve">Tips expected</t>
  </si>
  <si>
    <t xml:space="preserve">Carry small notes for tips</t>
  </si>
  <si>
    <t xml:space="preserve">Mauritius</t>
  </si>
  <si>
    <t xml:space="preserve">999 · 114 ambulance</t>
  </si>
  <si>
    <t xml:space="preserve">Visa-free on arrival</t>
  </si>
  <si>
    <t xml:space="preserve">C/G</t>
  </si>
  <si>
    <t xml:space="preserve">Rent a car to see the whole island</t>
  </si>
  <si>
    <t xml:space="preserve">United Kingdom</t>
  </si>
  <si>
    <t xml:space="preserve">Visa needed (standard visitor)</t>
  </si>
  <si>
    <t xml:space="preserve">10–12.5% (often added)</t>
  </si>
  <si>
    <t xml:space="preserve">Contactless on the Tube caps your daily fare</t>
  </si>
  <si>
    <t xml:space="preserve">France</t>
  </si>
  <si>
    <t xml:space="preserve">Schengen visa needed (apply 15–180 days ahead)</t>
  </si>
  <si>
    <t xml:space="preserve">C/E</t>
  </si>
  <si>
    <t xml:space="preserve">Service included</t>
  </si>
  <si>
    <t xml:space="preserve">Museum passes save money in Paris</t>
  </si>
  <si>
    <t xml:space="preserve">Italy</t>
  </si>
  <si>
    <t xml:space="preserve">C/F/L</t>
  </si>
  <si>
    <t xml:space="preserve">Coperto added; tips optional</t>
  </si>
  <si>
    <t xml:space="preserve">Book Vatican and Colosseum tickets online</t>
  </si>
  <si>
    <t xml:space="preserve">Switzerland</t>
  </si>
  <si>
    <t xml:space="preserve">C/J</t>
  </si>
  <si>
    <t xml:space="preserve">Swiss Travel Pass if you'll take many trains</t>
  </si>
  <si>
    <t xml:space="preserve">Germany</t>
  </si>
  <si>
    <t xml:space="preserve">5–10% (round up)</t>
  </si>
  <si>
    <t xml:space="preserve">Deutschlandticket for regional trains</t>
  </si>
  <si>
    <t xml:space="preserve">Netherlands</t>
  </si>
  <si>
    <t xml:space="preserve">Round up</t>
  </si>
  <si>
    <t xml:space="preserve">City card only pays off with 3+ museums</t>
  </si>
  <si>
    <t xml:space="preserve">Spain</t>
  </si>
  <si>
    <t xml:space="preserve">Eat the menú del día at lunch</t>
  </si>
  <si>
    <t xml:space="preserve">Portugal</t>
  </si>
  <si>
    <t xml:space="preserve">Viva Viagem card for Lisbon trams</t>
  </si>
  <si>
    <t xml:space="preserve">Greece</t>
  </si>
  <si>
    <t xml:space="preserve">Book summer island ferries early</t>
  </si>
  <si>
    <t xml:space="preserve">Austria</t>
  </si>
  <si>
    <t xml:space="preserve">Vienna City Card covers transport</t>
  </si>
  <si>
    <t xml:space="preserve">Czechia</t>
  </si>
  <si>
    <t xml:space="preserve">Buy a 24h/72h Prague transport ticket</t>
  </si>
  <si>
    <t xml:space="preserve">Hungary</t>
  </si>
  <si>
    <t xml:space="preserve">Visit Budapest baths early on weekdays</t>
  </si>
  <si>
    <t xml:space="preserve">Poland</t>
  </si>
  <si>
    <t xml:space="preserve">Kraków ↔ Zakopane by bus is cheapest</t>
  </si>
  <si>
    <t xml:space="preserve">Norway</t>
  </si>
  <si>
    <t xml:space="preserve">Northern Lights: Sep–Mar, watch the aurora forecast</t>
  </si>
  <si>
    <t xml:space="preserve">Sweden</t>
  </si>
  <si>
    <t xml:space="preserve">Cards everywhere; cash rarely needed</t>
  </si>
  <si>
    <t xml:space="preserve">Finland</t>
  </si>
  <si>
    <t xml:space="preserve">Helsinki–Tallinn ferry makes an easy day trip</t>
  </si>
  <si>
    <t xml:space="preserve">Denmark</t>
  </si>
  <si>
    <t xml:space="preserve">C/F/K</t>
  </si>
  <si>
    <t xml:space="preserve">Copenhagen Card covers transport and sights</t>
  </si>
  <si>
    <t xml:space="preserve">Iceland</t>
  </si>
  <si>
    <t xml:space="preserve">Rent a car; check road.is for conditions</t>
  </si>
  <si>
    <t xml:space="preserve">USA</t>
  </si>
  <si>
    <t xml:space="preserve">Americas</t>
  </si>
  <si>
    <t xml:space="preserve">Visa needed (B1/B2) · book the interview early</t>
  </si>
  <si>
    <t xml:space="preserve">15–20% expected</t>
  </si>
  <si>
    <t xml:space="preserve">Check visa wait times on the US embassy site</t>
  </si>
  <si>
    <t xml:space="preserve">Canada</t>
  </si>
  <si>
    <t xml:space="preserve">Visa needed (visitor visa + biometrics)</t>
  </si>
  <si>
    <t xml:space="preserve">Visa processing can take months</t>
  </si>
  <si>
    <t xml:space="preserve">Australia</t>
  </si>
  <si>
    <t xml:space="preserve">Oceania</t>
  </si>
  <si>
    <t xml:space="preserve">000</t>
  </si>
  <si>
    <t xml:space="preserve">Online visitor visa (subclass 600)</t>
  </si>
  <si>
    <t xml:space="preserve">I</t>
  </si>
  <si>
    <t xml:space="preserve">Opal / Myki cards for city transport</t>
  </si>
  <si>
    <t xml:space="preserve">New Zealand</t>
  </si>
  <si>
    <t xml:space="preserve">111</t>
  </si>
  <si>
    <t xml:space="preserve">Visitor visa needed</t>
  </si>
  <si>
    <t xml:space="preserve">Campervans are the classic way to tour</t>
  </si>
  <si>
    <t xml:space="preserve">Home country — no visa</t>
  </si>
  <si>
    <t xml:space="preserve">10% common</t>
  </si>
  <si>
    <t xml:space="preserve">IRCTC for trains; Tatkal for last-minute</t>
  </si>
  <si>
    <t xml:space="preserve">To-do &amp; packing templates</t>
  </si>
  <si>
    <t xml:space="preserve">Edit these and the Checklist tab follows. Put an x under each trip type an item belongs to.</t>
  </si>
  <si>
    <t xml:space="preserve">To-do task</t>
  </si>
  <si>
    <t xml:space="preserve">Days before trip</t>
  </si>
  <si>
    <t xml:space="preserve">Packing item</t>
  </si>
  <si>
    <t xml:space="preserve">Always</t>
  </si>
  <si>
    <t xml:space="preserve">Beach &amp; islands</t>
  </si>
  <si>
    <t xml:space="preserve">Mountains &amp; snow</t>
  </si>
  <si>
    <t xml:space="preserve">Road trip</t>
  </si>
  <si>
    <t xml:space="preserve">Family with kids</t>
  </si>
  <si>
    <t xml:space="preserve">Adventure</t>
  </si>
  <si>
    <t xml:space="preserve">Check passports: valid 6+ months after return</t>
  </si>
  <si>
    <t xml:space="preserve">See Passport OK? above</t>
  </si>
  <si>
    <t xml:space="preserve">Passports + visa printouts</t>
  </si>
  <si>
    <t xml:space="preserve">x</t>
  </si>
  <si>
    <t xml:space="preserve">Book flights</t>
  </si>
  <si>
    <t xml:space="preserve">Compare on Skyscanner; check baggage rules</t>
  </si>
  <si>
    <t xml:space="preserve">Flight, hotel &amp; insurance copies</t>
  </si>
  <si>
    <t xml:space="preserve">Book stays</t>
  </si>
  <si>
    <t xml:space="preserve">Pick free cancellation where you can</t>
  </si>
  <si>
    <t xml:space="preserve">Forex card + debit/credit cards</t>
  </si>
  <si>
    <t xml:space="preserve">Apply for visas / e-visas</t>
  </si>
  <si>
    <t xml:space="preserve">Entry rule for your country is on the Setup tab</t>
  </si>
  <si>
    <t xml:space="preserve">Some local cash</t>
  </si>
  <si>
    <t xml:space="preserve">Buy travel insurance</t>
  </si>
  <si>
    <t xml:space="preserve">Save the helpline on the Setup tab</t>
  </si>
  <si>
    <t xml:space="preserve">Phone + charger + power bank</t>
  </si>
  <si>
    <t xml:space="preserve">Book big activities &amp; tours</t>
  </si>
  <si>
    <t xml:space="preserve">GetYourGuide code WALKINGTALKINGCA5 = 5% off</t>
  </si>
  <si>
    <t xml:space="preserve">Universal travel adapter</t>
  </si>
  <si>
    <t xml:space="preserve">Start a savings plan for the trip</t>
  </si>
  <si>
    <t xml:space="preserve">See the Savings tab</t>
  </si>
  <si>
    <t xml:space="preserve">Medicines + prescriptions</t>
  </si>
  <si>
    <t xml:space="preserve">Book airport transfers</t>
  </si>
  <si>
    <t xml:space="preserve">Save the driver on the Contacts tab</t>
  </si>
  <si>
    <t xml:space="preserve">Toiletries</t>
  </si>
  <si>
    <t xml:space="preserve">Buy an eSIM</t>
  </si>
  <si>
    <t xml:space="preserve">Airalo code WTCA = 10% off</t>
  </si>
  <si>
    <t xml:space="preserve">Comfortable walking shoes</t>
  </si>
  <si>
    <t xml:space="preserve">Load forex card / arrange some cash</t>
  </si>
  <si>
    <t xml:space="preserve">Carry a little local cash for day 1</t>
  </si>
  <si>
    <t xml:space="preserve">Daypack</t>
  </si>
  <si>
    <t xml:space="preserve">Tell your bank you're travelling</t>
  </si>
  <si>
    <t xml:space="preserve">Avoids blocked cards abroad</t>
  </si>
  <si>
    <t xml:space="preserve">Reusable water bottle</t>
  </si>
  <si>
    <t xml:space="preserve">Save copies of passports &amp; bookings</t>
  </si>
  <si>
    <t xml:space="preserve">Phone + cloud + one printed set</t>
  </si>
  <si>
    <t xml:space="preserve">Earphones / eye mask for flights</t>
  </si>
  <si>
    <t xml:space="preserve">Download offline maps &amp; translator</t>
  </si>
  <si>
    <t xml:space="preserve">Google Maps offline areas</t>
  </si>
  <si>
    <t xml:space="preserve">Pen (for arrival forms)</t>
  </si>
  <si>
    <t xml:space="preserve">Check baggage allowance &amp; weigh bags</t>
  </si>
  <si>
    <t xml:space="preserve">Light jacket / layer</t>
  </si>
  <si>
    <t xml:space="preserve">Online check-in</t>
  </si>
  <si>
    <t xml:space="preserve">Opens 24–48 h before most flights</t>
  </si>
  <si>
    <t xml:space="preserve">Smart outfit for dinners</t>
  </si>
  <si>
    <t xml:space="preserve">Print the one-page summary for family</t>
  </si>
  <si>
    <t xml:space="preserve">Print Summary tab → File → Print</t>
  </si>
  <si>
    <t xml:space="preserve">Swimwear</t>
  </si>
  <si>
    <t xml:space="preserve">Sunscreen SPF 50</t>
  </si>
  <si>
    <t xml:space="preserve">Sunglasses &amp; hat</t>
  </si>
  <si>
    <t xml:space="preserve">Flip-flops / sandals</t>
  </si>
  <si>
    <t xml:space="preserve">Waterproof phone pouch</t>
  </si>
  <si>
    <t xml:space="preserve">Thermal inner wear</t>
  </si>
  <si>
    <t xml:space="preserve">Down jacket</t>
  </si>
  <si>
    <t xml:space="preserve">Gloves, beanie &amp; scarf</t>
  </si>
  <si>
    <t xml:space="preserve">Waterproof boots</t>
  </si>
  <si>
    <t xml:space="preserve">Lip balm &amp; moisturiser</t>
  </si>
  <si>
    <t xml:space="preserve">International driving permit</t>
  </si>
  <si>
    <t xml:space="preserve">Car phone holder + charger</t>
  </si>
  <si>
    <t xml:space="preserve">Snacks &amp; water for the drive</t>
  </si>
  <si>
    <t xml:space="preserve">Offline maps downloaded</t>
  </si>
  <si>
    <t xml:space="preserve">Kids' medicines &amp; thermometer</t>
  </si>
  <si>
    <t xml:space="preserve">Wet wipes &amp; snacks for kids</t>
  </si>
  <si>
    <t xml:space="preserve">Entertainment for kids (tablet, books)</t>
  </si>
  <si>
    <t xml:space="preserve">Stroller / baby carrier</t>
  </si>
  <si>
    <t xml:space="preserve">Trekking shoes</t>
  </si>
  <si>
    <t xml:space="preserve">Quick-dry clothes</t>
  </si>
  <si>
    <t xml:space="preserve">Headlamp / torch</t>
  </si>
  <si>
    <t xml:space="preserve">First-aid kit</t>
  </si>
  <si>
    <t xml:space="preserve">GoPro / action camera</t>
  </si>
  <si>
    <t xml:space="preserve">Laundry bag</t>
  </si>
  <si>
    <t xml:space="preserve">Small padlock</t>
  </si>
  <si>
    <t xml:space="preserve">src</t>
  </si>
  <si>
    <t xml:space="preserve">list</t>
  </si>
  <si>
    <t xml:space="preserve">Priority</t>
  </si>
  <si>
    <t xml:space="preserve">YesNo</t>
  </si>
  <si>
    <t xml:space="preserve">Settle</t>
  </si>
  <si>
    <t xml:space="preserve">Pre-trip</t>
  </si>
  <si>
    <t xml:space="preserve">Everyone</t>
  </si>
  <si>
    <t xml:space="preserve">Planning</t>
  </si>
  <si>
    <t xml:space="preserve">Must-have</t>
  </si>
  <si>
    <t xml:space="preserve">Not needed</t>
  </si>
  <si>
    <t xml:space="preserve">HomeINR</t>
  </si>
  <si>
    <t xml:space="preserve">Booked (unpaid)</t>
  </si>
  <si>
    <t xml:space="preserve">Optional</t>
  </si>
  <si>
    <t xml:space="preserve">To apply</t>
  </si>
  <si>
    <t xml:space="preserve">Groups</t>
  </si>
  <si>
    <t xml:space="preserve">N</t>
  </si>
  <si>
    <t xml:space="preserve">Applied</t>
  </si>
  <si>
    <t xml:space="preserve">m</t>
  </si>
  <si>
    <t xml:space="preserve">Cancelled</t>
  </si>
  <si>
    <t xml:space="preserve">Approved</t>
  </si>
  <si>
    <t xml:space="preserve">fm</t>
  </si>
  <si>
    <t xml:space="preserve">Visa on arrival</t>
  </si>
  <si>
    <t xml:space="preserve">flightsFrom</t>
  </si>
  <si>
    <t xml:space="preserve">nightsFactor</t>
  </si>
  <si>
    <t xml:space="preserve">destCount</t>
  </si>
  <si>
    <t xml:space="preserve">settleMode</t>
  </si>
  <si>
    <t xml:space="preserve">todayDay</t>
  </si>
  <si>
    <t xml:space="preserve">viewIdx</t>
  </si>
  <si>
    <t xml:space="preserve">tripLabel</t>
  </si>
  <si>
    <t xml:space="preserve">emergency</t>
  </si>
  <si>
    <t xml:space="preserve">Custom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</si>
</sst>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0"/>
    <numFmt numFmtId="166" formatCode="dd\-mmm\-yy"/>
    <numFmt numFmtId="167" formatCode="#,##0;[RED]\-#,##0;\-"/>
    <numFmt numFmtId="168" formatCode="0.000000"/>
    <numFmt numFmtId="169" formatCode="#,##0.##"/>
    <numFmt numFmtId="170" formatCode="ddd\ dd\ mmm"/>
    <numFmt numFmtId="171" formatCode="0.0000"/>
    <numFmt numFmtId="172" formatCode="0.##"/>
    <numFmt numFmtId="173" formatCode="General"/>
    <numFmt numFmtId="174" formatCode="hh:mm"/>
    <numFmt numFmtId="175" formatCode="0&quot; days&quot;;[RED]\-0&quot; days late&quot;;&quot;today&quot;"/>
    <numFmt numFmtId="176" formatCode="0%"/>
    <numFmt numFmtId="177" formatCode="\+#,##0;[RED]\-#,##0;&quot;settled&quot;"/>
    <numFmt numFmtId="178" formatCode="#,##0.000000"/>
  </numFmts>
  <fonts count="5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6"/>
      <color rgb="FFFFFFFF"/>
      <name val="Arial"/>
      <family val="0"/>
      <charset val="1"/>
    </font>
    <font>
      <b val="true"/>
      <sz val="11"/>
      <color rgb="FFF26B4F"/>
      <name val="Arial"/>
      <family val="0"/>
      <charset val="1"/>
    </font>
    <font>
      <b val="true"/>
      <sz val="13"/>
      <color rgb="FF1B2A3E"/>
      <name val="Arial"/>
      <family val="0"/>
      <charset val="1"/>
    </font>
    <font>
      <b val="true"/>
      <sz val="13"/>
      <color rgb="FFFFFFFF"/>
      <name val="Arial"/>
      <family val="0"/>
      <charset val="1"/>
    </font>
    <font>
      <b val="true"/>
      <u val="single"/>
      <sz val="12"/>
      <color rgb="FF1B2A3E"/>
      <name val="Arial"/>
      <family val="0"/>
      <charset val="1"/>
    </font>
    <font>
      <sz val="10"/>
      <color rgb="FF46566B"/>
      <name val="Arial"/>
      <family val="0"/>
      <charset val="1"/>
    </font>
    <font>
      <b val="true"/>
      <sz val="10"/>
      <name val="Arial"/>
      <family val="0"/>
      <charset val="1"/>
    </font>
    <font>
      <sz val="9"/>
      <color rgb="FF46566B"/>
      <name val="Arial"/>
      <family val="0"/>
      <charset val="1"/>
    </font>
    <font>
      <b val="true"/>
      <sz val="15"/>
      <color rgb="FFF26B4F"/>
      <name val="Arial"/>
      <family val="0"/>
      <charset val="1"/>
    </font>
    <font>
      <b val="true"/>
      <sz val="18"/>
      <color rgb="FF1B2A3E"/>
      <name val="Arial"/>
      <family val="0"/>
      <charset val="1"/>
    </font>
    <font>
      <i val="true"/>
      <sz val="9"/>
      <color rgb="FF5B6B7F"/>
      <name val="Arial"/>
      <family val="0"/>
      <charset val="1"/>
    </font>
    <font>
      <b val="true"/>
      <sz val="12"/>
      <color rgb="FFF26B4F"/>
      <name val="Arial"/>
      <family val="0"/>
      <charset val="1"/>
    </font>
    <font>
      <sz val="10"/>
      <color rgb="FF1B2A3E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9"/>
      <name val="Arial"/>
      <family val="0"/>
      <charset val="1"/>
    </font>
    <font>
      <b val="true"/>
      <sz val="10"/>
      <color rgb="FF1B2A3E"/>
      <name val="Arial"/>
      <family val="0"/>
      <charset val="1"/>
    </font>
    <font>
      <sz val="8"/>
      <color rgb="FF1B2A3E"/>
      <name val="Arial"/>
      <family val="0"/>
      <charset val="1"/>
    </font>
    <font>
      <i val="true"/>
      <sz val="8"/>
      <color rgb="FF5B6B7F"/>
      <name val="Arial"/>
      <family val="0"/>
      <charset val="1"/>
    </font>
    <font>
      <sz val="10"/>
      <color rgb="FF5B6B7F"/>
      <name val="Arial"/>
      <family val="0"/>
      <charset val="1"/>
    </font>
    <font>
      <b val="true"/>
      <sz val="9"/>
      <name val="Arial"/>
      <family val="0"/>
      <charset val="1"/>
    </font>
    <font>
      <sz val="9"/>
      <color rgb="FF1B2A3E"/>
      <name val="Arial"/>
      <family val="0"/>
      <charset val="1"/>
    </font>
    <font>
      <b val="true"/>
      <sz val="10"/>
      <color rgb="FF5B6B7F"/>
      <name val="Arial"/>
      <family val="0"/>
      <charset val="1"/>
    </font>
    <font>
      <b val="true"/>
      <sz val="8"/>
      <color rgb="FFFFFFFF"/>
      <name val="Arial"/>
      <family val="0"/>
      <charset val="1"/>
    </font>
    <font>
      <sz val="8"/>
      <color rgb="FF5B6B7F"/>
      <name val="Arial"/>
      <family val="0"/>
      <charset val="1"/>
    </font>
    <font>
      <b val="true"/>
      <sz val="12"/>
      <name val="Arial"/>
      <family val="0"/>
      <charset val="1"/>
    </font>
    <font>
      <sz val="9"/>
      <color rgb="FF1F9E8F"/>
      <name val="Arial"/>
      <family val="0"/>
      <charset val="1"/>
    </font>
    <font>
      <b val="true"/>
      <sz val="18"/>
      <color rgb="FF1F9E8F"/>
      <name val="Arial"/>
      <family val="0"/>
      <charset val="1"/>
    </font>
    <font>
      <b val="true"/>
      <sz val="18"/>
      <color rgb="FFB9770E"/>
      <name val="Arial"/>
      <family val="0"/>
      <charset val="1"/>
    </font>
    <font>
      <b val="true"/>
      <sz val="18"/>
      <color rgb="FFF26B4F"/>
      <name val="Arial"/>
      <family val="0"/>
      <charset val="1"/>
    </font>
    <font>
      <b val="true"/>
      <sz val="10"/>
      <color rgb="FF1F9E8F"/>
      <name val="Arial"/>
      <family val="0"/>
      <charset val="1"/>
    </font>
    <font>
      <sz val="10"/>
      <color rgb="FF1F9E8F"/>
      <name val="Arial"/>
      <family val="0"/>
      <charset val="1"/>
    </font>
    <font>
      <b val="true"/>
      <sz val="20"/>
      <color rgb="FFFFFFFF"/>
      <name val="Arial"/>
      <family val="0"/>
      <charset val="1"/>
    </font>
    <font>
      <b val="true"/>
      <sz val="16"/>
      <color rgb="FFF26B4F"/>
      <name val="Arial"/>
      <family val="0"/>
      <charset val="1"/>
    </font>
    <font>
      <b val="true"/>
      <sz val="20"/>
      <color rgb="FF1B2A3E"/>
      <name val="Arial"/>
      <family val="0"/>
      <charset val="1"/>
    </font>
    <font>
      <b val="true"/>
      <sz val="20"/>
      <color rgb="FF1F9E8F"/>
      <name val="Arial"/>
      <family val="0"/>
      <charset val="1"/>
    </font>
    <font>
      <b val="true"/>
      <sz val="20"/>
      <color rgb="FFF26B4F"/>
      <name val="Arial"/>
      <family val="0"/>
      <charset val="1"/>
    </font>
    <font>
      <b val="true"/>
      <sz val="20"/>
      <color rgb="FFB9770E"/>
      <name val="Arial"/>
      <family val="0"/>
      <charset val="1"/>
    </font>
    <font>
      <sz val="12"/>
      <color rgb="FF1F9E8F"/>
      <name val="Arial"/>
      <family val="0"/>
      <charset val="1"/>
    </font>
    <font>
      <b val="true"/>
      <sz val="9"/>
      <color rgb="FF1B2A3E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1"/>
      <name val="Arial"/>
      <family val="0"/>
      <charset val="1"/>
    </font>
    <font>
      <b val="true"/>
      <sz val="11"/>
      <color rgb="FF1B2A3E"/>
      <name val="Arial"/>
      <family val="0"/>
      <charset val="1"/>
    </font>
    <font>
      <b val="true"/>
      <sz val="11"/>
      <color rgb="FF1F9E8F"/>
      <name val="Arial"/>
      <family val="0"/>
      <charset val="1"/>
    </font>
    <font>
      <b val="true"/>
      <sz val="15"/>
      <color rgb="FF1B2A3E"/>
      <name val="Arial"/>
      <family val="0"/>
      <charset val="1"/>
    </font>
    <font>
      <sz val="8"/>
      <name val="Arial"/>
      <family val="0"/>
      <charset val="1"/>
    </font>
    <font>
      <b val="true"/>
      <sz val="8"/>
      <name val="Arial"/>
      <family val="0"/>
      <charset val="1"/>
    </font>
    <font>
      <i val="true"/>
      <sz val="7"/>
      <color rgb="FF5B6B7F"/>
      <name val="Arial"/>
      <family val="0"/>
      <charset val="1"/>
    </font>
    <font>
      <i val="true"/>
      <sz val="7"/>
      <color rgb="FFFFFFFF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u val="single"/>
      <sz val="10"/>
      <color rgb="FFF26B4F"/>
      <name val="Arial"/>
      <family val="0"/>
      <charset val="1"/>
    </font>
  </fonts>
  <fills count="18">
    <fill>
      <patternFill patternType="none"/>
    </fill>
    <fill>
      <patternFill patternType="gray125"/>
    </fill>
    <fill>
      <patternFill patternType="solid">
        <fgColor rgb="FF1B2A3E"/>
        <bgColor rgb="FF003300"/>
      </patternFill>
    </fill>
    <fill>
      <patternFill patternType="solid">
        <fgColor rgb="FFF26B4F"/>
        <bgColor rgb="FFCC7C3A"/>
      </patternFill>
    </fill>
    <fill>
      <patternFill patternType="solid">
        <fgColor rgb="FFFFFCF6"/>
        <bgColor rgb="FFFFFFFF"/>
      </patternFill>
    </fill>
    <fill>
      <patternFill patternType="solid">
        <fgColor rgb="FF1F9E8F"/>
        <bgColor rgb="FF3E8EA4"/>
      </patternFill>
    </fill>
    <fill>
      <patternFill patternType="solid">
        <fgColor rgb="FFFFF3CC"/>
        <bgColor rgb="FFFEF3DA"/>
      </patternFill>
    </fill>
    <fill>
      <patternFill patternType="solid">
        <fgColor rgb="FFEEF1F5"/>
        <bgColor rgb="FFE2F4F1"/>
      </patternFill>
    </fill>
    <fill>
      <patternFill patternType="solid">
        <fgColor rgb="FFCDEFE7"/>
        <bgColor rgb="FFE2F4F1"/>
      </patternFill>
    </fill>
    <fill>
      <patternFill patternType="solid">
        <fgColor rgb="FFFDE2DD"/>
        <bgColor rgb="FFFDE6E1"/>
      </patternFill>
    </fill>
    <fill>
      <patternFill patternType="solid">
        <fgColor rgb="FFE2F4F1"/>
        <bgColor rgb="FFEEF1F5"/>
      </patternFill>
    </fill>
    <fill>
      <patternFill patternType="solid">
        <fgColor rgb="FFFEF3DA"/>
        <bgColor rgb="FFFFF3CC"/>
      </patternFill>
    </fill>
    <fill>
      <patternFill patternType="solid">
        <fgColor rgb="FFF7A08E"/>
        <bgColor rgb="FFD8AAA9"/>
      </patternFill>
    </fill>
    <fill>
      <patternFill patternType="solid">
        <fgColor rgb="FF5B6B7F"/>
        <bgColor rgb="FF416A9C"/>
      </patternFill>
    </fill>
    <fill>
      <patternFill patternType="solid">
        <fgColor rgb="FFC85A45"/>
        <bgColor rgb="FFC0504D"/>
      </patternFill>
    </fill>
    <fill>
      <patternFill patternType="solid">
        <fgColor rgb="FFB9770E"/>
        <bgColor rgb="FFCC7C3A"/>
      </patternFill>
    </fill>
    <fill>
      <patternFill patternType="solid">
        <fgColor rgb="FFFDE6E1"/>
        <bgColor rgb="FFFDE2DD"/>
      </patternFill>
    </fill>
    <fill>
      <patternFill patternType="solid">
        <fgColor rgb="FFE6EAF0"/>
        <bgColor rgb="FFEEF1F5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D9DEE5"/>
      </left>
      <right style="thin">
        <color rgb="FFD9DEE5"/>
      </right>
      <top style="thin">
        <color rgb="FFD9DEE5"/>
      </top>
      <bottom style="thin">
        <color rgb="FFD9DEE5"/>
      </bottom>
      <diagonal/>
    </border>
    <border diagonalUp="false" diagonalDown="false">
      <left/>
      <right/>
      <top/>
      <bottom style="thin">
        <color rgb="FFD9DEE5"/>
      </bottom>
      <diagonal/>
    </border>
    <border diagonalUp="false" diagonalDown="false">
      <left style="thin">
        <color rgb="FFD9DEE5"/>
      </left>
      <right/>
      <top style="thin">
        <color rgb="FFD9DEE5"/>
      </top>
      <bottom style="thin">
        <color rgb="FFD9DEE5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1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0" xfId="0" applyFont="true" applyBorder="false" applyAlignment="true" applyProtection="false">
      <alignment horizontal="general" vertical="center" textRotation="0" wrapText="false" indent="1" shrinkToFit="false"/>
      <protection locked="true" hidden="false"/>
    </xf>
    <xf numFmtId="164" fontId="9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true"/>
    </xf>
    <xf numFmtId="164" fontId="1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16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6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8" fillId="7" borderId="1" xfId="0" applyFont="true" applyBorder="true" applyAlignment="true" applyProtection="true">
      <alignment horizontal="general" vertical="center" textRotation="0" wrapText="true" indent="0" shrinkToFit="false"/>
      <protection locked="true" hidden="true"/>
    </xf>
    <xf numFmtId="166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19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10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10" borderId="1" xfId="0" applyFont="true" applyBorder="true" applyAlignment="true" applyProtection="true">
      <alignment horizontal="general" vertical="center" textRotation="0" wrapText="true" indent="0" shrinkToFit="false"/>
      <protection locked="true" hidden="true"/>
    </xf>
    <xf numFmtId="167" fontId="19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16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6" fillId="7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16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6" fillId="7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9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8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2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19" fillId="11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6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1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1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1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13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7" fillId="5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9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0" fontId="16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1" fontId="27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2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3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7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74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8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true"/>
    </xf>
    <xf numFmtId="164" fontId="29" fillId="10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6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1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3" fillId="4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30" fillId="4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31" fillId="4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32" fillId="4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4" fontId="2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2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2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9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3" fillId="10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6" fontId="16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5" fontId="16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7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5" fillId="16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4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6" fontId="16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6" fontId="19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2" borderId="0" xfId="0" applyFont="true" applyBorder="true" applyAlignment="true" applyProtection="true">
      <alignment horizontal="general" vertical="center" textRotation="0" wrapText="false" indent="1" shrinkToFit="false"/>
      <protection locked="true" hidden="true"/>
    </xf>
    <xf numFmtId="164" fontId="22" fillId="4" borderId="0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36" fillId="4" borderId="0" xfId="0" applyFont="true" applyBorder="true" applyAlignment="true" applyProtection="true">
      <alignment horizontal="general" vertical="center" textRotation="0" wrapText="false" indent="1" shrinkToFit="false"/>
      <protection locked="true" hidden="true"/>
    </xf>
    <xf numFmtId="164" fontId="1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6" fillId="5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6" fillId="3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6" fillId="15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37" fillId="17" borderId="0" xfId="0" applyFont="true" applyBorder="true" applyAlignment="true" applyProtection="true">
      <alignment horizontal="center" vertical="center" textRotation="0" wrapText="false" indent="0" shrinkToFit="true"/>
      <protection locked="true" hidden="true"/>
    </xf>
    <xf numFmtId="167" fontId="38" fillId="10" borderId="0" xfId="0" applyFont="true" applyBorder="true" applyAlignment="true" applyProtection="true">
      <alignment horizontal="center" vertical="center" textRotation="0" wrapText="false" indent="0" shrinkToFit="true"/>
      <protection locked="true" hidden="true"/>
    </xf>
    <xf numFmtId="167" fontId="39" fillId="16" borderId="0" xfId="0" applyFont="true" applyBorder="true" applyAlignment="true" applyProtection="true">
      <alignment horizontal="center" vertical="center" textRotation="0" wrapText="false" indent="0" shrinkToFit="true"/>
      <protection locked="true" hidden="true"/>
    </xf>
    <xf numFmtId="167" fontId="40" fillId="11" borderId="0" xfId="0" applyFont="true" applyBorder="true" applyAlignment="true" applyProtection="true">
      <alignment horizontal="center" vertical="center" textRotation="0" wrapText="false" indent="0" shrinkToFit="true"/>
      <protection locked="true" hidden="true"/>
    </xf>
    <xf numFmtId="164" fontId="27" fillId="17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27" fillId="10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27" fillId="16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27" fillId="11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41" fillId="0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24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42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9" fillId="7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6" fontId="24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3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42" fillId="16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42" fillId="16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5" fontId="24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24" fillId="7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7" fillId="2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6" fillId="16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9" fillId="16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19" fillId="16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2" borderId="1" xfId="0" applyFont="true" applyBorder="true" applyAlignment="true" applyProtection="true">
      <alignment horizontal="center" vertical="bottom" textRotation="0" wrapText="true" indent="0" shrinkToFit="false"/>
      <protection locked="true" hidden="true"/>
    </xf>
    <xf numFmtId="165" fontId="1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true"/>
    </xf>
    <xf numFmtId="164" fontId="4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true"/>
    </xf>
    <xf numFmtId="164" fontId="4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7" fillId="11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4" fillId="10" borderId="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3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4" fillId="10" borderId="1" xfId="0" applyFont="true" applyBorder="true" applyAlignment="true" applyProtection="true">
      <alignment horizontal="general" vertical="top" textRotation="0" wrapText="true" indent="0" shrinkToFit="false"/>
      <protection locked="true" hidden="true"/>
    </xf>
    <xf numFmtId="164" fontId="48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1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7" fontId="49" fillId="4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21" fillId="0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0" fillId="0" borderId="2" xfId="0" applyFont="true" applyBorder="true" applyAlignment="true" applyProtection="true">
      <alignment horizontal="general" vertical="center" textRotation="0" wrapText="false" indent="0" shrinkToFit="true"/>
      <protection locked="true" hidden="true"/>
    </xf>
    <xf numFmtId="167" fontId="50" fillId="0" borderId="2" xfId="0" applyFont="true" applyBorder="true" applyAlignment="true" applyProtection="true">
      <alignment horizontal="general" vertical="center" textRotation="0" wrapText="false" indent="0" shrinkToFit="true"/>
      <protection locked="true" hidden="true"/>
    </xf>
    <xf numFmtId="164" fontId="51" fillId="0" borderId="2" xfId="0" applyFont="true" applyBorder="true" applyAlignment="true" applyProtection="true">
      <alignment horizontal="general" vertical="center" textRotation="0" wrapText="false" indent="0" shrinkToFit="true"/>
      <protection locked="true" hidden="true"/>
    </xf>
    <xf numFmtId="177" fontId="50" fillId="0" borderId="2" xfId="0" applyFont="true" applyBorder="true" applyAlignment="true" applyProtection="true">
      <alignment horizontal="right" vertical="center" textRotation="0" wrapText="false" indent="0" shrinkToFit="true"/>
      <protection locked="true" hidden="true"/>
    </xf>
    <xf numFmtId="164" fontId="51" fillId="0" borderId="2" xfId="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5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74" fontId="50" fillId="0" borderId="2" xfId="0" applyFont="true" applyBorder="true" applyAlignment="true" applyProtection="true">
      <alignment horizontal="general" vertical="center" textRotation="0" wrapText="false" indent="0" shrinkToFit="true"/>
      <protection locked="true" hidden="true"/>
    </xf>
    <xf numFmtId="164" fontId="53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4" fillId="2" borderId="0" xfId="0" applyFont="true" applyBorder="true" applyAlignment="true" applyProtection="true">
      <alignment horizontal="general" vertical="center" textRotation="0" wrapText="false" indent="1" shrinkToFit="false"/>
      <protection locked="true" hidden="true"/>
    </xf>
    <xf numFmtId="164" fontId="33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7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4" fontId="18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8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8" fillId="0" borderId="2" xfId="0" applyFont="true" applyBorder="true" applyAlignment="true" applyProtection="true">
      <alignment horizontal="general" vertical="center" textRotation="0" wrapText="true" indent="0" shrinkToFit="false"/>
      <protection locked="true" hidden="true"/>
    </xf>
    <xf numFmtId="164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3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6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7" fillId="5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8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8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18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8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5">
    <dxf>
      <font>
        <strike val="1"/>
        <color rgb="FF9AA3AE"/>
      </font>
    </dxf>
    <dxf>
      <font>
        <b val="1"/>
        <color rgb="FF146B60"/>
      </font>
      <fill>
        <patternFill>
          <bgColor rgb="FFCDEFE7"/>
        </patternFill>
      </fill>
    </dxf>
    <dxf>
      <fill>
        <patternFill>
          <bgColor rgb="FFFDE7C2"/>
        </patternFill>
      </fill>
    </dxf>
    <dxf>
      <font>
        <b val="1"/>
        <color rgb="FFC0392B"/>
      </font>
      <fill>
        <patternFill>
          <bgColor rgb="FFFDE2DD"/>
        </patternFill>
      </fill>
    </dxf>
    <dxf>
      <font>
        <b val="1"/>
        <color rgb="FFC0392B"/>
      </font>
    </dxf>
    <dxf>
      <font>
        <i val="1"/>
        <color rgb="FF9B6A00"/>
      </font>
    </dxf>
    <dxf>
      <font>
        <color rgb="FF9AA3AE"/>
      </font>
      <fill>
        <patternFill>
          <bgColor rgb="FFEEF1F5"/>
        </patternFill>
      </fill>
    </dxf>
    <dxf>
      <fill>
        <patternFill>
          <bgColor rgb="FFFFE2B3"/>
        </patternFill>
      </fill>
    </dxf>
    <dxf>
      <font>
        <strike val="1"/>
        <color rgb="FF9AA3AE"/>
      </font>
      <fill>
        <patternFill>
          <bgColor rgb="FFCDEFE7"/>
        </patternFill>
      </fill>
    </dxf>
    <dxf>
      <font>
        <b val="1"/>
        <color rgb="FF146B60"/>
      </font>
    </dxf>
    <dxf>
      <font>
        <b val="1"/>
        <color rgb="FFB9770E"/>
      </font>
    </dxf>
    <dxf>
      <font>
        <color rgb="FFC0392B"/>
      </font>
    </dxf>
    <dxf>
      <font>
        <color rgb="FFE39B12"/>
      </font>
    </dxf>
    <dxf>
      <font>
        <color rgb="FF146B60"/>
      </font>
    </dxf>
    <dxf>
      <fill>
        <patternFill>
          <bgColor rgb="FFFEF3DA"/>
        </patternFill>
      </fill>
      <border diagonalUp="false" diagonalDown="false">
        <left/>
        <right/>
        <top style="thin">
          <color rgb="FFF26B4F"/>
        </top>
        <bottom/>
        <diagonal/>
      </border>
    </dxf>
  </dxfs>
  <colors>
    <indexedColors>
      <rgbColor rgb="FF000000"/>
      <rgbColor rgb="FFFFFFFF"/>
      <rgbColor rgb="FFC85A45"/>
      <rgbColor rgb="FFFEF3DA"/>
      <rgbColor rgb="FF0000FF"/>
      <rgbColor rgb="FFFFE2B3"/>
      <rgbColor rgb="FFFDE2DD"/>
      <rgbColor rgb="FFD9DEE5"/>
      <rgbColor rgb="FFB9770E"/>
      <rgbColor rgb="FF809B49"/>
      <rgbColor rgb="FF000080"/>
      <rgbColor rgb="FF9B6A00"/>
      <rgbColor rgb="FF8064A2"/>
      <rgbColor rgb="FF146B60"/>
      <rgbColor rgb="FFB9AFC9"/>
      <rgbColor rgb="FF878787"/>
      <rgbColor rgb="FFAABAD7"/>
      <rgbColor rgb="FF9F423F"/>
      <rgbColor rgb="FFFFF3CC"/>
      <rgbColor rgb="FFCDEFE7"/>
      <rgbColor rgb="FF660066"/>
      <rgbColor rgb="FFF26B4F"/>
      <rgbColor rgb="FF4F81BD"/>
      <rgbColor rgb="FFC9D3DE"/>
      <rgbColor rgb="FF000080"/>
      <rgbColor rgb="FFFDE6E1"/>
      <rgbColor rgb="FFC5D6AC"/>
      <rgbColor rgb="FFEEF1F5"/>
      <rgbColor rgb="FFF9F9F9"/>
      <rgbColor rgb="FF800000"/>
      <rgbColor rgb="FF3E8EA4"/>
      <rgbColor rgb="FF0000FF"/>
      <rgbColor rgb="FFD9D9D9"/>
      <rgbColor rgb="FFE2F4F1"/>
      <rgbColor rgb="FFE6EAF0"/>
      <rgbColor rgb="FFFDE7C2"/>
      <rgbColor rgb="FFA9CEDC"/>
      <rgbColor rgb="FFF7A08E"/>
      <rgbColor rgb="FFD8AAA9"/>
      <rgbColor rgb="FFF9C3A8"/>
      <rgbColor rgb="FF416A9C"/>
      <rgbColor rgb="FF4BACC6"/>
      <rgbColor rgb="FF9BBB59"/>
      <rgbColor rgb="FFF79646"/>
      <rgbColor rgb="FFE39B12"/>
      <rgbColor rgb="FFCC7C3A"/>
      <rgbColor rgb="FF5B6B7F"/>
      <rgbColor rgb="FF9AA3AE"/>
      <rgbColor rgb="FFFFFCF6"/>
      <rgbColor rgb="FF1F9E8F"/>
      <rgbColor rgb="FF003300"/>
      <rgbColor rgb="FF6A5286"/>
      <rgbColor rgb="FFC0392B"/>
      <rgbColor rgb="FFC0504D"/>
      <rgbColor rgb="FF46566B"/>
      <rgbColor rgb="FF1B2A3E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Budget vs expected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Dashboard!C12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rgbClr val="c9d3de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Dashboard!$B$13:$B$30</c:f>
              <c:strCache>
                <c:ptCount val="18"/>
                <c:pt idx="0">
                  <c:v>Flights</c:v>
                </c:pt>
                <c:pt idx="1">
                  <c:v>Accommodation</c:v>
                </c:pt>
                <c:pt idx="2">
                  <c:v>Local transport</c:v>
                </c:pt>
                <c:pt idx="3">
                  <c:v>Car rental &amp; fuel</c:v>
                </c:pt>
                <c:pt idx="4">
                  <c:v>Trains &amp; buses</c:v>
                </c:pt>
                <c:pt idx="5">
                  <c:v>Tours &amp; activities</c:v>
                </c:pt>
                <c:pt idx="6">
                  <c:v>Attraction tickets</c:v>
                </c:pt>
                <c:pt idx="7">
                  <c:v>Food &amp; dining</c:v>
                </c:pt>
                <c:pt idx="8">
                  <c:v>Groceries &amp; snacks</c:v>
                </c:pt>
                <c:pt idx="9">
                  <c:v>Shopping &amp; souvenirs</c:v>
                </c:pt>
                <c:pt idx="10">
                  <c:v>Visa &amp; documents</c:v>
                </c:pt>
                <c:pt idx="11">
                  <c:v>Travel insurance</c:v>
                </c:pt>
                <c:pt idx="12">
                  <c:v>SIM / eSIM &amp; internet</c:v>
                </c:pt>
                <c:pt idx="13">
                  <c:v>Forex &amp; bank fees</c:v>
                </c:pt>
                <c:pt idx="14">
                  <c:v>Tips &amp; service</c:v>
                </c:pt>
                <c:pt idx="15">
                  <c:v>Health &amp; pharmacy</c:v>
                </c:pt>
                <c:pt idx="16">
                  <c:v>Emergency / misc</c:v>
                </c:pt>
                <c:pt idx="17">
                  <c:v>Other</c:v>
                </c:pt>
              </c:strCache>
            </c:strRef>
          </c:cat>
          <c:val>
            <c:numRef>
              <c:f>Dashboard!$C$13:$C$30</c:f>
              <c:numCache>
                <c:formatCode>#,##0;[RED]\-#,##0;\-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Dashboard!D12</c:f>
              <c:strCache>
                <c:ptCount val="1"/>
                <c:pt idx="0">
                  <c:v>Expected</c:v>
                </c:pt>
              </c:strCache>
            </c:strRef>
          </c:tx>
          <c:spPr>
            <a:solidFill>
              <a:srgbClr val="f26b4f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Dashboard!$B$13:$B$30</c:f>
              <c:strCache>
                <c:ptCount val="18"/>
                <c:pt idx="0">
                  <c:v>Flights</c:v>
                </c:pt>
                <c:pt idx="1">
                  <c:v>Accommodation</c:v>
                </c:pt>
                <c:pt idx="2">
                  <c:v>Local transport</c:v>
                </c:pt>
                <c:pt idx="3">
                  <c:v>Car rental &amp; fuel</c:v>
                </c:pt>
                <c:pt idx="4">
                  <c:v>Trains &amp; buses</c:v>
                </c:pt>
                <c:pt idx="5">
                  <c:v>Tours &amp; activities</c:v>
                </c:pt>
                <c:pt idx="6">
                  <c:v>Attraction tickets</c:v>
                </c:pt>
                <c:pt idx="7">
                  <c:v>Food &amp; dining</c:v>
                </c:pt>
                <c:pt idx="8">
                  <c:v>Groceries &amp; snacks</c:v>
                </c:pt>
                <c:pt idx="9">
                  <c:v>Shopping &amp; souvenirs</c:v>
                </c:pt>
                <c:pt idx="10">
                  <c:v>Visa &amp; documents</c:v>
                </c:pt>
                <c:pt idx="11">
                  <c:v>Travel insurance</c:v>
                </c:pt>
                <c:pt idx="12">
                  <c:v>SIM / eSIM &amp; internet</c:v>
                </c:pt>
                <c:pt idx="13">
                  <c:v>Forex &amp; bank fees</c:v>
                </c:pt>
                <c:pt idx="14">
                  <c:v>Tips &amp; service</c:v>
                </c:pt>
                <c:pt idx="15">
                  <c:v>Health &amp; pharmacy</c:v>
                </c:pt>
                <c:pt idx="16">
                  <c:v>Emergency / misc</c:v>
                </c:pt>
                <c:pt idx="17">
                  <c:v>Other</c:v>
                </c:pt>
              </c:strCache>
            </c:strRef>
          </c:cat>
          <c:val>
            <c:numRef>
              <c:f>Dashboard!$D$13:$D$30</c:f>
              <c:numCache>
                <c:formatCode>#,##0;[RED]\-#,##0;\-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gapWidth val="50"/>
        <c:overlap val="0"/>
        <c:axId val="93754505"/>
        <c:axId val="63959062"/>
      </c:barChart>
      <c:catAx>
        <c:axId val="9375450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3959062"/>
        <c:crosses val="autoZero"/>
        <c:auto val="1"/>
        <c:lblAlgn val="ctr"/>
        <c:lblOffset val="100"/>
        <c:noMultiLvlLbl val="0"/>
      </c:catAx>
      <c:valAx>
        <c:axId val="63959062"/>
        <c:scaling>
          <c:orientation val="minMax"/>
        </c:scaling>
        <c:delete val="0"/>
        <c:axPos val="l"/>
        <c:numFmt formatCode="#,##0;[RED]\-#,##0;\-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3754505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Where the money goes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doughnutChart>
        <c:varyColors val="1"/>
        <c:ser>
          <c:idx val="0"/>
          <c:order val="0"/>
          <c:tx>
            <c:strRef>
              <c:f>Dashboard!D12</c:f>
              <c:strCache>
                <c:ptCount val="1"/>
                <c:pt idx="0">
                  <c:v>Expected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16a9c"/>
              </a:solidFill>
              <a:ln w="0">
                <a:noFill/>
              </a:ln>
            </c:spPr>
          </c:dPt>
          <c:dPt>
            <c:idx val="1"/>
            <c:spPr>
              <a:solidFill>
                <a:srgbClr val="9f423f"/>
              </a:solidFill>
              <a:ln w="0">
                <a:noFill/>
              </a:ln>
            </c:spPr>
          </c:dPt>
          <c:dPt>
            <c:idx val="2"/>
            <c:spPr>
              <a:solidFill>
                <a:srgbClr val="809b4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6a5286"/>
              </a:solidFill>
              <a:ln w="0">
                <a:noFill/>
              </a:ln>
            </c:spPr>
          </c:dPt>
          <c:dPt>
            <c:idx val="4"/>
            <c:spPr>
              <a:solidFill>
                <a:srgbClr val="3e8ea4"/>
              </a:solidFill>
              <a:ln w="0">
                <a:noFill/>
              </a:ln>
            </c:spPr>
          </c:dPt>
          <c:dPt>
            <c:idx val="5"/>
            <c:spPr>
              <a:solidFill>
                <a:srgbClr val="cc7c3a"/>
              </a:solidFill>
              <a:ln w="0">
                <a:noFill/>
              </a:ln>
            </c:spPr>
          </c:dPt>
          <c:dPt>
            <c:idx val="6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7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8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9"/>
            <c:spPr>
              <a:solidFill>
                <a:srgbClr val="8064a2"/>
              </a:solidFill>
              <a:ln w="0">
                <a:noFill/>
              </a:ln>
            </c:spPr>
          </c:dPt>
          <c:dPt>
            <c:idx val="10"/>
            <c:spPr>
              <a:solidFill>
                <a:srgbClr val="4bacc6"/>
              </a:solidFill>
              <a:ln w="0">
                <a:noFill/>
              </a:ln>
            </c:spPr>
          </c:dPt>
          <c:dPt>
            <c:idx val="11"/>
            <c:spPr>
              <a:solidFill>
                <a:srgbClr val="f79646"/>
              </a:solidFill>
              <a:ln w="0">
                <a:noFill/>
              </a:ln>
            </c:spPr>
          </c:dPt>
          <c:dPt>
            <c:idx val="12"/>
            <c:spPr>
              <a:solidFill>
                <a:srgbClr val="aabad7"/>
              </a:solidFill>
              <a:ln w="0">
                <a:noFill/>
              </a:ln>
            </c:spPr>
          </c:dPt>
          <c:dPt>
            <c:idx val="13"/>
            <c:spPr>
              <a:solidFill>
                <a:srgbClr val="d8aaa9"/>
              </a:solidFill>
              <a:ln w="0">
                <a:noFill/>
              </a:ln>
            </c:spPr>
          </c:dPt>
          <c:dPt>
            <c:idx val="14"/>
            <c:spPr>
              <a:solidFill>
                <a:srgbClr val="c5d6ac"/>
              </a:solidFill>
              <a:ln w="0">
                <a:noFill/>
              </a:ln>
            </c:spPr>
          </c:dPt>
          <c:dPt>
            <c:idx val="15"/>
            <c:spPr>
              <a:solidFill>
                <a:srgbClr val="b9afc9"/>
              </a:solidFill>
              <a:ln w="0">
                <a:noFill/>
              </a:ln>
            </c:spPr>
          </c:dPt>
          <c:dPt>
            <c:idx val="16"/>
            <c:spPr>
              <a:solidFill>
                <a:srgbClr val="a9cedc"/>
              </a:solidFill>
              <a:ln w="0">
                <a:noFill/>
              </a:ln>
            </c:spPr>
          </c:dPt>
          <c:dPt>
            <c:idx val="17"/>
            <c:spPr>
              <a:solidFill>
                <a:srgbClr val="f9c3a8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4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5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6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7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8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9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4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5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6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7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Dashboard!$B$13:$B$30</c:f>
              <c:strCache>
                <c:ptCount val="18"/>
                <c:pt idx="0">
                  <c:v>Flights</c:v>
                </c:pt>
                <c:pt idx="1">
                  <c:v>Accommodation</c:v>
                </c:pt>
                <c:pt idx="2">
                  <c:v>Local transport</c:v>
                </c:pt>
                <c:pt idx="3">
                  <c:v>Car rental &amp; fuel</c:v>
                </c:pt>
                <c:pt idx="4">
                  <c:v>Trains &amp; buses</c:v>
                </c:pt>
                <c:pt idx="5">
                  <c:v>Tours &amp; activities</c:v>
                </c:pt>
                <c:pt idx="6">
                  <c:v>Attraction tickets</c:v>
                </c:pt>
                <c:pt idx="7">
                  <c:v>Food &amp; dining</c:v>
                </c:pt>
                <c:pt idx="8">
                  <c:v>Groceries &amp; snacks</c:v>
                </c:pt>
                <c:pt idx="9">
                  <c:v>Shopping &amp; souvenirs</c:v>
                </c:pt>
                <c:pt idx="10">
                  <c:v>Visa &amp; documents</c:v>
                </c:pt>
                <c:pt idx="11">
                  <c:v>Travel insurance</c:v>
                </c:pt>
                <c:pt idx="12">
                  <c:v>SIM / eSIM &amp; internet</c:v>
                </c:pt>
                <c:pt idx="13">
                  <c:v>Forex &amp; bank fees</c:v>
                </c:pt>
                <c:pt idx="14">
                  <c:v>Tips &amp; service</c:v>
                </c:pt>
                <c:pt idx="15">
                  <c:v>Health &amp; pharmacy</c:v>
                </c:pt>
                <c:pt idx="16">
                  <c:v>Emergency / misc</c:v>
                </c:pt>
                <c:pt idx="17">
                  <c:v>Other</c:v>
                </c:pt>
              </c:strCache>
            </c:strRef>
          </c:cat>
          <c:val>
            <c:numRef>
              <c:f>Dashboard!$D$13:$D$30</c:f>
              <c:numCache>
                <c:formatCode>#,##0;[RED]\-#,##0;\-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firstSliceAng val="0"/>
        <c:holeSize val="50"/>
      </c:doughnut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Each day: budget vs expected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Dashboard!D51</c:f>
              <c:strCache>
                <c:ptCount val="1"/>
                <c:pt idx="0">
                  <c:v>Daily budget</c:v>
                </c:pt>
              </c:strCache>
            </c:strRef>
          </c:tx>
          <c:spPr>
            <a:solidFill>
              <a:srgbClr val="c9d3de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Dashboard!$B$52:$B$81</c:f>
              <c:strCache>
                <c:ptCount val="3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</c:strCache>
            </c:strRef>
          </c:cat>
          <c:val>
            <c:numRef>
              <c:f>Dashboard!$D$52:$D$81</c:f>
              <c:numCache>
                <c:formatCode>General</c:formatCode>
                <c:ptCount val="30"/>
              </c:numCache>
            </c:numRef>
          </c:val>
        </c:ser>
        <c:ser>
          <c:idx val="1"/>
          <c:order val="1"/>
          <c:tx>
            <c:strRef>
              <c:f>Dashboard!E51</c:f>
              <c:strCache>
                <c:ptCount val="1"/>
                <c:pt idx="0">
                  <c:v>Expected</c:v>
                </c:pt>
              </c:strCache>
            </c:strRef>
          </c:tx>
          <c:spPr>
            <a:solidFill>
              <a:srgbClr val="1f9e8f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Dashboard!$B$52:$B$81</c:f>
              <c:strCache>
                <c:ptCount val="3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</c:strCache>
            </c:strRef>
          </c:cat>
          <c:val>
            <c:numRef>
              <c:f>Dashboard!$E$52:$E$81</c:f>
              <c:numCache>
                <c:formatCode>General</c:formatCode>
                <c:ptCount val="30"/>
              </c:numCache>
            </c:numRef>
          </c:val>
        </c:ser>
        <c:gapWidth val="150"/>
        <c:overlap val="0"/>
        <c:axId val="8918281"/>
        <c:axId val="52089201"/>
      </c:barChart>
      <c:catAx>
        <c:axId val="891828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2089201"/>
        <c:crosses val="autoZero"/>
        <c:auto val="1"/>
        <c:lblAlgn val="ctr"/>
        <c:lblOffset val="100"/>
        <c:noMultiLvlLbl val="0"/>
      </c:catAx>
      <c:valAx>
        <c:axId val="5208920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918281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1</xdr:row>
      <xdr:rowOff>0</xdr:rowOff>
    </xdr:from>
    <xdr:to>
      <xdr:col>4</xdr:col>
      <xdr:colOff>694800</xdr:colOff>
      <xdr:row>2</xdr:row>
      <xdr:rowOff>66240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7330320" y="190440"/>
          <a:ext cx="694800" cy="8758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0</xdr:colOff>
      <xdr:row>10</xdr:row>
      <xdr:rowOff>0</xdr:rowOff>
    </xdr:from>
    <xdr:to>
      <xdr:col>16</xdr:col>
      <xdr:colOff>119160</xdr:colOff>
      <xdr:row>26</xdr:row>
      <xdr:rowOff>181080</xdr:rowOff>
    </xdr:to>
    <xdr:graphicFrame>
      <xdr:nvGraphicFramePr>
        <xdr:cNvPr id="1" name="Chart 1"/>
        <xdr:cNvGraphicFramePr/>
      </xdr:nvGraphicFramePr>
      <xdr:xfrm>
        <a:off x="7189560" y="2781360"/>
        <a:ext cx="5759640" cy="34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0</xdr:colOff>
      <xdr:row>29</xdr:row>
      <xdr:rowOff>0</xdr:rowOff>
    </xdr:from>
    <xdr:to>
      <xdr:col>16</xdr:col>
      <xdr:colOff>119160</xdr:colOff>
      <xdr:row>45</xdr:row>
      <xdr:rowOff>11520</xdr:rowOff>
    </xdr:to>
    <xdr:graphicFrame>
      <xdr:nvGraphicFramePr>
        <xdr:cNvPr id="2" name="Chart 2"/>
        <xdr:cNvGraphicFramePr/>
      </xdr:nvGraphicFramePr>
      <xdr:xfrm>
        <a:off x="7189560" y="6591240"/>
        <a:ext cx="5759640" cy="305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9</xdr:col>
      <xdr:colOff>0</xdr:colOff>
      <xdr:row>49</xdr:row>
      <xdr:rowOff>0</xdr:rowOff>
    </xdr:from>
    <xdr:to>
      <xdr:col>16</xdr:col>
      <xdr:colOff>119160</xdr:colOff>
      <xdr:row>63</xdr:row>
      <xdr:rowOff>22320</xdr:rowOff>
    </xdr:to>
    <xdr:graphicFrame>
      <xdr:nvGraphicFramePr>
        <xdr:cNvPr id="3" name="Chart 3"/>
        <xdr:cNvGraphicFramePr/>
      </xdr:nvGraphicFramePr>
      <xdr:xfrm>
        <a:off x="7189560" y="10401480"/>
        <a:ext cx="57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0</xdr:colOff>
      <xdr:row>0</xdr:row>
      <xdr:rowOff>0</xdr:rowOff>
    </xdr:from>
    <xdr:to>
      <xdr:col>8</xdr:col>
      <xdr:colOff>418680</xdr:colOff>
      <xdr:row>0</xdr:row>
      <xdr:rowOff>533160</xdr:rowOff>
    </xdr:to>
    <xdr:pic>
      <xdr:nvPicPr>
        <xdr:cNvPr id="4" name="Image 1" descr="Picture"/>
        <xdr:cNvPicPr/>
      </xdr:nvPicPr>
      <xdr:blipFill>
        <a:blip r:embed="rId1"/>
        <a:stretch/>
      </xdr:blipFill>
      <xdr:spPr>
        <a:xfrm>
          <a:off x="7189560" y="0"/>
          <a:ext cx="418680" cy="5331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hyperlink" Target="https://gyg.me/walkingtalkingca-app" TargetMode="External"/><Relationship Id="rId2" Type="http://schemas.openxmlformats.org/officeDocument/2006/relationships/hyperlink" Target="https://airalo.pxf.io/c/8022972/1268485/15608?p.code=WTCA" TargetMode="External"/><Relationship Id="rId3" Type="http://schemas.openxmlformats.org/officeDocument/2006/relationships/hyperlink" Target="https://omio.sjv.io/c/8022972/4029329/7385" TargetMode="External"/><Relationship Id="rId4" Type="http://schemas.openxmlformats.org/officeDocument/2006/relationships/hyperlink" Target="https://omio.sjv.io/c/8022972/4002438/7385" TargetMode="External"/><Relationship Id="rId5" Type="http://schemas.openxmlformats.org/officeDocument/2006/relationships/hyperlink" Target="https://pelago.pxf.io/c/8022972/3272939/22181" TargetMode="External"/><Relationship Id="rId6" Type="http://schemas.openxmlformats.org/officeDocument/2006/relationships/hyperlink" Target="https://rentalcoveraudran.onepath.io/9VDGve" TargetMode="External"/><Relationship Id="rId7" Type="http://schemas.openxmlformats.org/officeDocument/2006/relationships/hyperlink" Target="https://walkingtalkingca.com/deals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E3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7"/>
    <col collapsed="false" customWidth="true" hidden="false" outlineLevel="0" max="3" min="3" style="0" width="30"/>
    <col collapsed="false" customWidth="true" hidden="false" outlineLevel="0" max="4" min="4" style="0" width="64"/>
    <col collapsed="false" customWidth="true" hidden="false" outlineLevel="0" max="5" min="5" style="0" width="16"/>
  </cols>
  <sheetData>
    <row r="2" customFormat="false" ht="63.75" hidden="false" customHeight="true" outlineLevel="0" collapsed="false">
      <c r="B2" s="1" t="s">
        <v>0</v>
      </c>
      <c r="C2" s="1"/>
      <c r="D2" s="1"/>
      <c r="E2" s="1"/>
    </row>
    <row r="3" customFormat="false" ht="15" hidden="false" customHeight="false" outlineLevel="0" collapsed="false">
      <c r="B3" s="2" t="s">
        <v>1</v>
      </c>
      <c r="C3" s="2"/>
      <c r="D3" s="2"/>
      <c r="E3" s="2"/>
    </row>
    <row r="5" customFormat="false" ht="16.15" hidden="false" customHeight="false" outlineLevel="0" collapsed="false">
      <c r="B5" s="3" t="s">
        <v>2</v>
      </c>
    </row>
    <row r="6" customFormat="false" ht="30" hidden="false" customHeight="true" outlineLevel="0" collapsed="false">
      <c r="B6" s="4" t="s">
        <v>3</v>
      </c>
      <c r="C6" s="5" t="s">
        <v>4</v>
      </c>
      <c r="D6" s="6" t="s">
        <v>5</v>
      </c>
    </row>
    <row r="7" customFormat="false" ht="30" hidden="false" customHeight="true" outlineLevel="0" collapsed="false">
      <c r="B7" s="4" t="s">
        <v>6</v>
      </c>
      <c r="C7" s="5" t="s">
        <v>7</v>
      </c>
      <c r="D7" s="6" t="s">
        <v>8</v>
      </c>
    </row>
    <row r="8" customFormat="false" ht="30" hidden="false" customHeight="true" outlineLevel="0" collapsed="false">
      <c r="B8" s="4" t="s">
        <v>9</v>
      </c>
      <c r="C8" s="5" t="s">
        <v>10</v>
      </c>
      <c r="D8" s="6" t="s">
        <v>11</v>
      </c>
    </row>
    <row r="10" customFormat="false" ht="16.15" hidden="false" customHeight="false" outlineLevel="0" collapsed="false">
      <c r="B10" s="3" t="s">
        <v>12</v>
      </c>
    </row>
    <row r="11" customFormat="false" ht="30" hidden="false" customHeight="true" outlineLevel="0" collapsed="false">
      <c r="B11" s="7" t="s">
        <v>13</v>
      </c>
      <c r="C11" s="5" t="s">
        <v>14</v>
      </c>
      <c r="D11" s="6" t="s">
        <v>15</v>
      </c>
    </row>
    <row r="12" customFormat="false" ht="30" hidden="false" customHeight="true" outlineLevel="0" collapsed="false">
      <c r="B12" s="7" t="s">
        <v>16</v>
      </c>
      <c r="C12" s="5" t="s">
        <v>17</v>
      </c>
      <c r="D12" s="6" t="s">
        <v>18</v>
      </c>
    </row>
    <row r="13" customFormat="false" ht="30" hidden="false" customHeight="true" outlineLevel="0" collapsed="false">
      <c r="B13" s="7" t="s">
        <v>19</v>
      </c>
      <c r="C13" s="5" t="s">
        <v>20</v>
      </c>
      <c r="D13" s="6" t="s">
        <v>21</v>
      </c>
    </row>
    <row r="14" customFormat="false" ht="30" hidden="false" customHeight="true" outlineLevel="0" collapsed="false">
      <c r="B14" s="7" t="s">
        <v>22</v>
      </c>
      <c r="C14" s="5" t="s">
        <v>23</v>
      </c>
      <c r="D14" s="6" t="s">
        <v>24</v>
      </c>
    </row>
    <row r="15" customFormat="false" ht="30" hidden="false" customHeight="true" outlineLevel="0" collapsed="false">
      <c r="B15" s="7" t="s">
        <v>25</v>
      </c>
      <c r="C15" s="5" t="s">
        <v>26</v>
      </c>
      <c r="D15" s="6" t="s">
        <v>27</v>
      </c>
    </row>
    <row r="16" customFormat="false" ht="30" hidden="false" customHeight="true" outlineLevel="0" collapsed="false">
      <c r="B16" s="7" t="s">
        <v>28</v>
      </c>
      <c r="C16" s="5" t="s">
        <v>29</v>
      </c>
      <c r="D16" s="6" t="s">
        <v>30</v>
      </c>
    </row>
    <row r="17" customFormat="false" ht="30" hidden="false" customHeight="true" outlineLevel="0" collapsed="false">
      <c r="B17" s="7" t="s">
        <v>31</v>
      </c>
      <c r="C17" s="5" t="s">
        <v>32</v>
      </c>
      <c r="D17" s="6" t="s">
        <v>33</v>
      </c>
    </row>
    <row r="18" customFormat="false" ht="30" hidden="false" customHeight="true" outlineLevel="0" collapsed="false">
      <c r="B18" s="7" t="s">
        <v>34</v>
      </c>
      <c r="C18" s="5" t="s">
        <v>35</v>
      </c>
      <c r="D18" s="6" t="s">
        <v>36</v>
      </c>
    </row>
    <row r="19" customFormat="false" ht="30" hidden="false" customHeight="true" outlineLevel="0" collapsed="false">
      <c r="B19" s="8" t="s">
        <v>37</v>
      </c>
      <c r="C19" s="5" t="s">
        <v>38</v>
      </c>
      <c r="D19" s="6" t="s">
        <v>39</v>
      </c>
    </row>
    <row r="20" customFormat="false" ht="30" hidden="false" customHeight="true" outlineLevel="0" collapsed="false">
      <c r="B20" s="8" t="s">
        <v>40</v>
      </c>
      <c r="C20" s="5" t="s">
        <v>41</v>
      </c>
      <c r="D20" s="6" t="s">
        <v>42</v>
      </c>
    </row>
    <row r="21" customFormat="false" ht="30" hidden="false" customHeight="true" outlineLevel="0" collapsed="false">
      <c r="B21" s="8" t="s">
        <v>43</v>
      </c>
      <c r="C21" s="5" t="s">
        <v>44</v>
      </c>
      <c r="D21" s="6" t="s">
        <v>45</v>
      </c>
    </row>
    <row r="23" customFormat="false" ht="16.15" hidden="false" customHeight="false" outlineLevel="0" collapsed="false">
      <c r="B23" s="3" t="s">
        <v>46</v>
      </c>
    </row>
    <row r="24" customFormat="false" ht="15" hidden="false" customHeight="false" outlineLevel="0" collapsed="false">
      <c r="B24" s="9"/>
      <c r="C24" s="10" t="s">
        <v>47</v>
      </c>
      <c r="D24" s="11" t="s">
        <v>48</v>
      </c>
    </row>
    <row r="25" customFormat="false" ht="15" hidden="false" customHeight="false" outlineLevel="0" collapsed="false">
      <c r="B25" s="12"/>
      <c r="C25" s="10" t="s">
        <v>49</v>
      </c>
      <c r="D25" s="11" t="s">
        <v>50</v>
      </c>
    </row>
    <row r="26" customFormat="false" ht="15" hidden="false" customHeight="false" outlineLevel="0" collapsed="false">
      <c r="B26" s="13"/>
      <c r="C26" s="10" t="s">
        <v>51</v>
      </c>
      <c r="D26" s="11" t="s">
        <v>52</v>
      </c>
    </row>
    <row r="27" customFormat="false" ht="15" hidden="false" customHeight="false" outlineLevel="0" collapsed="false">
      <c r="B27" s="14"/>
      <c r="C27" s="10" t="s">
        <v>53</v>
      </c>
      <c r="D27" s="11" t="s">
        <v>54</v>
      </c>
    </row>
    <row r="29" customFormat="false" ht="18" hidden="false" customHeight="true" outlineLevel="0" collapsed="false">
      <c r="B29" s="15" t="s">
        <v>55</v>
      </c>
      <c r="C29" s="15"/>
      <c r="D29" s="15"/>
    </row>
    <row r="30" customFormat="false" ht="18" hidden="false" customHeight="true" outlineLevel="0" collapsed="false">
      <c r="B30" s="15" t="s">
        <v>56</v>
      </c>
      <c r="C30" s="15"/>
      <c r="D30" s="15"/>
    </row>
    <row r="31" customFormat="false" ht="18" hidden="false" customHeight="true" outlineLevel="0" collapsed="false">
      <c r="B31" s="15" t="s">
        <v>57</v>
      </c>
      <c r="C31" s="15"/>
      <c r="D31" s="15"/>
    </row>
  </sheetData>
  <sheetProtection sheet="true" password="ecf5" formatRows="false"/>
  <mergeCells count="5">
    <mergeCell ref="B2:E2"/>
    <mergeCell ref="B3:E3"/>
    <mergeCell ref="B29:D29"/>
    <mergeCell ref="B30:D30"/>
    <mergeCell ref="B31:D31"/>
  </mergeCells>
  <hyperlinks>
    <hyperlink ref="C6" location="Setup!A1" display="Setup  →"/>
    <hyperlink ref="C7" location="Expenses!A1" display="Expenses  →"/>
    <hyperlink ref="C8" location="'Print Summary'!A1" display="Print Summary  →"/>
    <hyperlink ref="C11" location="Itinerary!A1" display="Itinerary  →"/>
    <hyperlink ref="C12" location="Today!A1" display="Today  →"/>
    <hyperlink ref="C13" location="Contacts!A1" display="Contacts  →"/>
    <hyperlink ref="C14" location="Checklist!A1" display="Checklist  →"/>
    <hyperlink ref="C15" location="Savings!A1" display="Savings  →"/>
    <hyperlink ref="C16" location="Dashboard!A1" display="Dashboard  →"/>
    <hyperlink ref="C17" location="'Split &amp; Settle'!A1" display="Split &amp; Settle  →"/>
    <hyperlink ref="C18" location="Compare!A1" display="Compare  →"/>
    <hyperlink ref="C19" location="'Print Itinerary'!A1" display="Print Itinerary  →"/>
    <hyperlink ref="C20" location="'Save on Bookings'!A1" display="Save on Bookings  →"/>
    <hyperlink ref="C21" location="Settings!A1" display="Settings  →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8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8"/>
    <col collapsed="false" customWidth="true" hidden="false" outlineLevel="0" max="3" min="3" style="0" width="22"/>
    <col collapsed="false" customWidth="true" hidden="false" outlineLevel="0" max="4" min="4" style="0" width="18"/>
    <col collapsed="false" customWidth="true" hidden="false" outlineLevel="0" max="5" min="5" style="0" width="16"/>
    <col collapsed="false" customWidth="true" hidden="false" outlineLevel="0" max="6" min="6" style="0" width="3"/>
    <col collapsed="false" customWidth="true" hidden="false" outlineLevel="0" max="7" min="7" style="0" width="24"/>
    <col collapsed="false" customWidth="true" hidden="false" outlineLevel="0" max="9" min="8" style="0" width="12"/>
    <col collapsed="false" customWidth="true" hidden="false" outlineLevel="0" max="10" min="10" style="0" width="16"/>
    <col collapsed="false" customWidth="true" hidden="false" outlineLevel="0" max="11" min="11" style="0" width="46"/>
  </cols>
  <sheetData>
    <row r="1" customFormat="false" ht="33.75" hidden="false" customHeight="true" outlineLevel="0" collapsed="false">
      <c r="A1" s="16" t="s">
        <v>58</v>
      </c>
      <c r="B1" s="17" t="s">
        <v>59</v>
      </c>
    </row>
    <row r="2" customFormat="false" ht="15" hidden="false" customHeight="false" outlineLevel="0" collapsed="false">
      <c r="B2" s="18" t="s">
        <v>60</v>
      </c>
    </row>
    <row r="4" customFormat="false" ht="15" hidden="false" customHeight="false" outlineLevel="0" collapsed="false">
      <c r="B4" s="19" t="s">
        <v>61</v>
      </c>
      <c r="G4" s="19" t="s">
        <v>62</v>
      </c>
    </row>
    <row r="5" customFormat="false" ht="30" hidden="false" customHeight="true" outlineLevel="0" collapsed="false">
      <c r="B5" s="20" t="s">
        <v>63</v>
      </c>
      <c r="C5" s="21" t="str">
        <f aca="false">IF(G6="","My trip",TripDest&amp;" "&amp;IF(C7="","",TEXT(C7,"yyyy")))</f>
        <v>My trip</v>
      </c>
      <c r="G5" s="22" t="s">
        <v>64</v>
      </c>
      <c r="H5" s="22" t="s">
        <v>65</v>
      </c>
      <c r="I5" s="22" t="s">
        <v>66</v>
      </c>
      <c r="J5" s="22" t="s">
        <v>67</v>
      </c>
      <c r="K5" s="22" t="s">
        <v>68</v>
      </c>
    </row>
    <row r="6" customFormat="false" ht="25.5" hidden="false" customHeight="true" outlineLevel="0" collapsed="false">
      <c r="B6" s="20" t="s">
        <v>69</v>
      </c>
      <c r="C6" s="23" t="s">
        <v>70</v>
      </c>
      <c r="G6" s="23"/>
      <c r="H6" s="24"/>
      <c r="I6" s="25" t="str">
        <f aca="false">IF(G6="","",IF(H6&lt;&gt;"",H6,IF(N(TripDays)=0,"",MAX(1,ROUND((TripDays-SUM($H$6:$H$9))/MAX(1,SUMPRODUCT((LEN($G$6:$G$9)&gt;0)*(LEN($H$6:$H$9)=0))),0)))))</f>
        <v/>
      </c>
      <c r="J6" s="26" t="str">
        <f aca="false">IF(G6="","",IFERROR(INDEX('Country Data'!$C$5:$C$84,MATCH(G6,'Country Data'!$A$5:$A$84,0)),"?"))</f>
        <v/>
      </c>
      <c r="K6" s="27" t="str">
        <f aca="false">IF(G6="","",IFERROR(INDEX('Country Data'!$E$5:$E$84,MATCH(G6,'Country Data'!$A$5:$A$84,0)),"Add this country on the Country Data tab"))</f>
        <v/>
      </c>
    </row>
    <row r="7" customFormat="false" ht="25.5" hidden="false" customHeight="true" outlineLevel="0" collapsed="false">
      <c r="B7" s="20" t="s">
        <v>71</v>
      </c>
      <c r="C7" s="28"/>
      <c r="G7" s="23"/>
      <c r="H7" s="24"/>
      <c r="I7" s="25" t="str">
        <f aca="false">IF(G7="","",IF(H7&lt;&gt;"",H7,IF(N(TripDays)=0,"",MAX(1,ROUND((TripDays-SUM($H$6:$H$9))/MAX(1,SUMPRODUCT((LEN($G$6:$G$9)&gt;0)*(LEN($H$6:$H$9)=0))),0)))))</f>
        <v/>
      </c>
      <c r="J7" s="26" t="str">
        <f aca="false">IF(G7="","",IFERROR(INDEX('Country Data'!$C$5:$C$84,MATCH(G7,'Country Data'!$A$5:$A$84,0)),"?"))</f>
        <v/>
      </c>
      <c r="K7" s="27" t="str">
        <f aca="false">IF(G7="","",IFERROR(INDEX('Country Data'!$E$5:$E$84,MATCH(G7,'Country Data'!$A$5:$A$84,0)),"Add this country on the Country Data tab"))</f>
        <v/>
      </c>
    </row>
    <row r="8" customFormat="false" ht="25.5" hidden="false" customHeight="true" outlineLevel="0" collapsed="false">
      <c r="B8" s="20" t="s">
        <v>72</v>
      </c>
      <c r="C8" s="28"/>
      <c r="G8" s="23"/>
      <c r="H8" s="24"/>
      <c r="I8" s="25" t="str">
        <f aca="false">IF(G8="","",IF(H8&lt;&gt;"",H8,IF(N(TripDays)=0,"",MAX(1,ROUND((TripDays-SUM($H$6:$H$9))/MAX(1,SUMPRODUCT((LEN($G$6:$G$9)&gt;0)*(LEN($H$6:$H$9)=0))),0)))))</f>
        <v/>
      </c>
      <c r="J8" s="26" t="str">
        <f aca="false">IF(G8="","",IFERROR(INDEX('Country Data'!$C$5:$C$84,MATCH(G8,'Country Data'!$A$5:$A$84,0)),"?"))</f>
        <v/>
      </c>
      <c r="K8" s="27" t="str">
        <f aca="false">IF(G8="","",IFERROR(INDEX('Country Data'!$E$5:$E$84,MATCH(G8,'Country Data'!$A$5:$A$84,0)),"Add this country on the Country Data tab"))</f>
        <v/>
      </c>
    </row>
    <row r="9" customFormat="false" ht="25.5" hidden="false" customHeight="true" outlineLevel="0" collapsed="false">
      <c r="B9" s="20" t="s">
        <v>73</v>
      </c>
      <c r="C9" s="29" t="str">
        <f aca="false">IF(AND(C7&lt;&gt;"",C8&lt;&gt;""),C8-C7+1,"")</f>
        <v/>
      </c>
      <c r="G9" s="23"/>
      <c r="H9" s="24"/>
      <c r="I9" s="25" t="str">
        <f aca="false">IF(G9="","",IF(H9&lt;&gt;"",H9,IF(N(TripDays)=0,"",MAX(1,ROUND((TripDays-SUM($H$6:$H$9))/MAX(1,SUMPRODUCT((LEN($G$6:$G$9)&gt;0)*(LEN($H$6:$H$9)=0))),0)))))</f>
        <v/>
      </c>
      <c r="J9" s="26" t="str">
        <f aca="false">IF(G9="","",IFERROR(INDEX('Country Data'!$C$5:$C$84,MATCH(G9,'Country Data'!$A$5:$A$84,0)),"?"))</f>
        <v/>
      </c>
      <c r="K9" s="27" t="str">
        <f aca="false">IF(G9="","",IFERROR(INDEX('Country Data'!$E$5:$E$84,MATCH(G9,'Country Data'!$A$5:$A$84,0)),"Add this country on the Country Data tab"))</f>
        <v/>
      </c>
    </row>
    <row r="10" customFormat="false" ht="15" hidden="false" customHeight="false" outlineLevel="0" collapsed="false">
      <c r="B10" s="20" t="s">
        <v>74</v>
      </c>
      <c r="C10" s="23" t="s">
        <v>75</v>
      </c>
    </row>
    <row r="11" customFormat="false" ht="30" hidden="false" customHeight="true" outlineLevel="0" collapsed="false">
      <c r="B11" s="20" t="s">
        <v>76</v>
      </c>
      <c r="C11" s="23" t="s">
        <v>77</v>
      </c>
      <c r="G11" s="30" t="s">
        <v>78</v>
      </c>
      <c r="H11" s="30" t="s">
        <v>79</v>
      </c>
      <c r="I11" s="30" t="s">
        <v>80</v>
      </c>
      <c r="J11" s="30" t="s">
        <v>81</v>
      </c>
      <c r="K11" s="30" t="s">
        <v>82</v>
      </c>
    </row>
    <row r="12" customFormat="false" ht="25.5" hidden="false" customHeight="true" outlineLevel="0" collapsed="false">
      <c r="B12" s="20" t="s">
        <v>83</v>
      </c>
      <c r="C12" s="21" t="str">
        <f aca="false">IFERROR(INDEX(Settings!$O$5:$O$10,MATCH(C6,Settings!$N$5:$N$10,0)),"INR")</f>
        <v>INR</v>
      </c>
      <c r="G12" s="31" t="str">
        <f aca="false">G6&amp;""</f>
        <v/>
      </c>
      <c r="H12" s="31" t="str">
        <f aca="false">IF(G6="","",IFERROR(INDEX('Country Data'!$G$5:$G$84,MATCH($G$6,'Country Data'!$A$5:$A$84,0)),""))</f>
        <v/>
      </c>
      <c r="I12" s="31" t="str">
        <f aca="false">IF(G6="","",IFERROR(TEXT(IFERROR(INDEX('Country Data'!$H$5:$H$84,MATCH($G$6,'Country Data'!$A$5:$A$84,0)),""),"+0.0;-0.0;0")&amp;" h",""))</f>
        <v/>
      </c>
      <c r="J12" s="32" t="str">
        <f aca="false">IF(G6="","",IFERROR(INDEX('Country Data'!$Q$5:$Q$84,MATCH($G$6,'Country Data'!$A$5:$A$84,0)),""))</f>
        <v/>
      </c>
      <c r="K12" s="32" t="str">
        <f aca="false">IF(G6="","","☎ "&amp;IFERROR(INDEX('Country Data'!$D$5:$D$84,MATCH($G$6,'Country Data'!$A$5:$A$84,0)),"")&amp;"  ·  💡 "&amp;IFERROR(INDEX('Country Data'!$R$5:$R$84,MATCH($G$6,'Country Data'!$A$5:$A$84,0)),""))</f>
        <v/>
      </c>
    </row>
    <row r="13" customFormat="false" ht="25.5" hidden="false" customHeight="true" outlineLevel="0" collapsed="false">
      <c r="B13" s="20" t="s">
        <v>84</v>
      </c>
      <c r="C13" s="33" t="n">
        <f aca="false">E56</f>
        <v>0</v>
      </c>
      <c r="G13" s="31" t="str">
        <f aca="false">G7&amp;""</f>
        <v/>
      </c>
      <c r="H13" s="31" t="str">
        <f aca="false">IF(G7="","",IFERROR(INDEX('Country Data'!$G$5:$G$84,MATCH($G$7,'Country Data'!$A$5:$A$84,0)),""))</f>
        <v/>
      </c>
      <c r="I13" s="31" t="str">
        <f aca="false">IF(G7="","",IFERROR(TEXT(IFERROR(INDEX('Country Data'!$H$5:$H$84,MATCH($G$7,'Country Data'!$A$5:$A$84,0)),""),"+0.0;-0.0;0")&amp;" h",""))</f>
        <v/>
      </c>
      <c r="J13" s="32" t="str">
        <f aca="false">IF(G7="","",IFERROR(INDEX('Country Data'!$Q$5:$Q$84,MATCH($G$7,'Country Data'!$A$5:$A$84,0)),""))</f>
        <v/>
      </c>
      <c r="K13" s="32" t="str">
        <f aca="false">IF(G7="","","☎ "&amp;IFERROR(INDEX('Country Data'!$D$5:$D$84,MATCH($G$7,'Country Data'!$A$5:$A$84,0)),"")&amp;"  ·  💡 "&amp;IFERROR(INDEX('Country Data'!$R$5:$R$84,MATCH($G$7,'Country Data'!$A$5:$A$84,0)),""))</f>
        <v/>
      </c>
    </row>
    <row r="14" customFormat="false" ht="25.5" hidden="false" customHeight="true" outlineLevel="0" collapsed="false">
      <c r="B14" s="20" t="s">
        <v>85</v>
      </c>
      <c r="C14" s="34" t="str">
        <f aca="false">IF(N(C9)=0,"",SUMIFS(E31:E55,Settings!B5:B29,"Yes")/C9)</f>
        <v/>
      </c>
      <c r="G14" s="31" t="str">
        <f aca="false">G8&amp;""</f>
        <v/>
      </c>
      <c r="H14" s="31" t="str">
        <f aca="false">IF(G8="","",IFERROR(INDEX('Country Data'!$G$5:$G$84,MATCH($G$8,'Country Data'!$A$5:$A$84,0)),""))</f>
        <v/>
      </c>
      <c r="I14" s="31" t="str">
        <f aca="false">IF(G8="","",IFERROR(TEXT(IFERROR(INDEX('Country Data'!$H$5:$H$84,MATCH($G$8,'Country Data'!$A$5:$A$84,0)),""),"+0.0;-0.0;0")&amp;" h",""))</f>
        <v/>
      </c>
      <c r="J14" s="32" t="str">
        <f aca="false">IF(G8="","",IFERROR(INDEX('Country Data'!$Q$5:$Q$84,MATCH($G$8,'Country Data'!$A$5:$A$84,0)),""))</f>
        <v/>
      </c>
      <c r="K14" s="32" t="str">
        <f aca="false">IF(G8="","","☎ "&amp;IFERROR(INDEX('Country Data'!$D$5:$D$84,MATCH($G$8,'Country Data'!$A$5:$A$84,0)),"")&amp;"  ·  💡 "&amp;IFERROR(INDEX('Country Data'!$R$5:$R$84,MATCH($G$8,'Country Data'!$A$5:$A$84,0)),""))</f>
        <v/>
      </c>
    </row>
    <row r="15" customFormat="false" ht="25.5" hidden="false" customHeight="true" outlineLevel="0" collapsed="false">
      <c r="G15" s="31" t="str">
        <f aca="false">G9&amp;""</f>
        <v/>
      </c>
      <c r="H15" s="31" t="str">
        <f aca="false">IF(G9="","",IFERROR(INDEX('Country Data'!$G$5:$G$84,MATCH($G$9,'Country Data'!$A$5:$A$84,0)),""))</f>
        <v/>
      </c>
      <c r="I15" s="31" t="str">
        <f aca="false">IF(G9="","",IFERROR(TEXT(IFERROR(INDEX('Country Data'!$H$5:$H$84,MATCH($G$9,'Country Data'!$A$5:$A$84,0)),""),"+0.0;-0.0;0")&amp;" h",""))</f>
        <v/>
      </c>
      <c r="J15" s="32" t="str">
        <f aca="false">IF(G9="","",IFERROR(INDEX('Country Data'!$Q$5:$Q$84,MATCH($G$9,'Country Data'!$A$5:$A$84,0)),""))</f>
        <v/>
      </c>
      <c r="K15" s="32" t="str">
        <f aca="false">IF(G9="","","☎ "&amp;IFERROR(INDEX('Country Data'!$D$5:$D$84,MATCH($G$9,'Country Data'!$A$5:$A$84,0)),"")&amp;"  ·  💡 "&amp;IFERROR(INDEX('Country Data'!$R$5:$R$84,MATCH($G$9,'Country Data'!$A$5:$A$84,0)),""))</f>
        <v/>
      </c>
    </row>
    <row r="16" customFormat="false" ht="15" hidden="false" customHeight="false" outlineLevel="0" collapsed="false">
      <c r="B16" s="19" t="s">
        <v>86</v>
      </c>
      <c r="G16" s="19" t="s">
        <v>87</v>
      </c>
    </row>
    <row r="17" customFormat="false" ht="30" hidden="false" customHeight="true" outlineLevel="0" collapsed="false">
      <c r="B17" s="22" t="s">
        <v>88</v>
      </c>
      <c r="C17" s="22" t="s">
        <v>89</v>
      </c>
      <c r="D17" s="22" t="s">
        <v>90</v>
      </c>
      <c r="G17" s="22" t="s">
        <v>91</v>
      </c>
      <c r="H17" s="22" t="s">
        <v>92</v>
      </c>
    </row>
    <row r="18" customFormat="false" ht="15" hidden="false" customHeight="false" outlineLevel="0" collapsed="false">
      <c r="B18" s="23"/>
      <c r="C18" s="23"/>
      <c r="D18" s="35" t="str">
        <f aca="false">IF(B18="","","✓")</f>
        <v/>
      </c>
      <c r="G18" s="23"/>
      <c r="H18" s="25" t="str">
        <f aca="false">IF(G18="","",COUNTIF($C$18:$C$27,G18))</f>
        <v/>
      </c>
    </row>
    <row r="19" customFormat="false" ht="15" hidden="false" customHeight="false" outlineLevel="0" collapsed="false">
      <c r="B19" s="23"/>
      <c r="C19" s="23"/>
      <c r="D19" s="35" t="str">
        <f aca="false">IF(B19="","","✓")</f>
        <v/>
      </c>
      <c r="G19" s="23"/>
      <c r="H19" s="25" t="str">
        <f aca="false">IF(G19="","",COUNTIF($C$18:$C$27,G19))</f>
        <v/>
      </c>
    </row>
    <row r="20" customFormat="false" ht="15" hidden="false" customHeight="false" outlineLevel="0" collapsed="false">
      <c r="B20" s="23"/>
      <c r="C20" s="23"/>
      <c r="D20" s="35" t="str">
        <f aca="false">IF(B20="","","✓")</f>
        <v/>
      </c>
      <c r="G20" s="23"/>
      <c r="H20" s="25" t="str">
        <f aca="false">IF(G20="","",COUNTIF($C$18:$C$27,G20))</f>
        <v/>
      </c>
    </row>
    <row r="21" customFormat="false" ht="15" hidden="false" customHeight="false" outlineLevel="0" collapsed="false">
      <c r="B21" s="23"/>
      <c r="C21" s="23"/>
      <c r="D21" s="35" t="str">
        <f aca="false">IF(B21="","","✓")</f>
        <v/>
      </c>
      <c r="G21" s="23"/>
      <c r="H21" s="25" t="str">
        <f aca="false">IF(G21="","",COUNTIF($C$18:$C$27,G21))</f>
        <v/>
      </c>
    </row>
    <row r="22" customFormat="false" ht="15" hidden="false" customHeight="false" outlineLevel="0" collapsed="false">
      <c r="B22" s="23"/>
      <c r="C22" s="23"/>
      <c r="D22" s="35" t="str">
        <f aca="false">IF(B22="","","✓")</f>
        <v/>
      </c>
      <c r="G22" s="23"/>
      <c r="H22" s="25" t="str">
        <f aca="false">IF(G22="","",COUNTIF($C$18:$C$27,G22))</f>
        <v/>
      </c>
    </row>
    <row r="23" customFormat="false" ht="15" hidden="false" customHeight="false" outlineLevel="0" collapsed="false">
      <c r="B23" s="23"/>
      <c r="C23" s="23"/>
      <c r="D23" s="35" t="str">
        <f aca="false">IF(B23="","","✓")</f>
        <v/>
      </c>
    </row>
    <row r="24" customFormat="false" ht="15" hidden="false" customHeight="false" outlineLevel="0" collapsed="false">
      <c r="B24" s="23"/>
      <c r="C24" s="23"/>
      <c r="D24" s="35" t="str">
        <f aca="false">IF(B24="","","✓")</f>
        <v/>
      </c>
      <c r="G24" s="19" t="s">
        <v>93</v>
      </c>
    </row>
    <row r="25" customFormat="false" ht="30" hidden="false" customHeight="true" outlineLevel="0" collapsed="false">
      <c r="B25" s="23"/>
      <c r="C25" s="23"/>
      <c r="D25" s="35" t="str">
        <f aca="false">IF(B25="","","✓")</f>
        <v/>
      </c>
      <c r="G25" s="22" t="s">
        <v>67</v>
      </c>
      <c r="H25" s="22" t="s">
        <v>94</v>
      </c>
      <c r="I25" s="22" t="s">
        <v>95</v>
      </c>
      <c r="J25" s="22" t="s">
        <v>96</v>
      </c>
      <c r="K25" s="22" t="s">
        <v>97</v>
      </c>
    </row>
    <row r="26" customFormat="false" ht="15" hidden="false" customHeight="false" outlineLevel="0" collapsed="false">
      <c r="B26" s="23"/>
      <c r="C26" s="23"/>
      <c r="D26" s="35" t="str">
        <f aca="false">IF(B26="","","✓")</f>
        <v/>
      </c>
      <c r="G26" s="26" t="str">
        <f aca="false">HomeCcy</f>
        <v>INR</v>
      </c>
      <c r="H26" s="36" t="n">
        <f aca="false">IF(G26="","",IFERROR(INDEX(Settings!$S$5:$S$64,MATCH(G26,Settings!$R$5:$R$64,0))/HomeINR,""))</f>
        <v>1</v>
      </c>
      <c r="I26" s="37"/>
      <c r="J26" s="38" t="n">
        <f aca="false">IF(G26="","",IF(I26&lt;&gt;"",I26,H26))</f>
        <v>1</v>
      </c>
      <c r="K26" s="39" t="str">
        <f aca="false">IF(G26="","",IF(J26="","⚠ Add this currency on Settings or type your rate","1 "&amp;G26&amp;" = "&amp;TEXT(J26,IF(J26&lt;0.1,"0.0000","#,##0.00"))&amp;" "&amp;HomeCcy))</f>
        <v>1 INR = 1.00 INR</v>
      </c>
    </row>
    <row r="27" customFormat="false" ht="15" hidden="false" customHeight="false" outlineLevel="0" collapsed="false">
      <c r="B27" s="23"/>
      <c r="C27" s="23"/>
      <c r="D27" s="35" t="str">
        <f aca="false">IF(B27="","","✓")</f>
        <v/>
      </c>
      <c r="G27" s="26" t="str">
        <f aca="false">IF(OR(J6="",J6=HomeCcy,J6="?"),"",J6)</f>
        <v/>
      </c>
      <c r="H27" s="36" t="str">
        <f aca="false">IF(G27="","",IFERROR(INDEX(Settings!$S$5:$S$64,MATCH(G27,Settings!$R$5:$R$64,0))/HomeINR,""))</f>
        <v/>
      </c>
      <c r="I27" s="40"/>
      <c r="J27" s="38" t="str">
        <f aca="false">IF(G27="","",IF(I27&lt;&gt;"",I27,H27))</f>
        <v/>
      </c>
      <c r="K27" s="39" t="str">
        <f aca="false">IF(G27="","",IF(J27="","⚠ Add this currency on Settings or type your rate","1 "&amp;G27&amp;" = "&amp;TEXT(J27,IF(J27&lt;0.1,"0.0000","#,##0.00"))&amp;" "&amp;HomeCcy))</f>
        <v/>
      </c>
    </row>
    <row r="28" customFormat="false" ht="15" hidden="false" customHeight="false" outlineLevel="0" collapsed="false">
      <c r="B28" s="41" t="s">
        <v>98</v>
      </c>
      <c r="G28" s="26" t="str">
        <f aca="false">IF(OR(J7="",J7=HomeCcy,J7="?"),"",J7)</f>
        <v/>
      </c>
      <c r="H28" s="36" t="str">
        <f aca="false">IF(G28="","",IFERROR(INDEX(Settings!$S$5:$S$64,MATCH(G28,Settings!$R$5:$R$64,0))/HomeINR,""))</f>
        <v/>
      </c>
      <c r="I28" s="40"/>
      <c r="J28" s="38" t="str">
        <f aca="false">IF(G28="","",IF(I28&lt;&gt;"",I28,H28))</f>
        <v/>
      </c>
      <c r="K28" s="39" t="str">
        <f aca="false">IF(G28="","",IF(J28="","⚠ Add this currency on Settings or type your rate","1 "&amp;G28&amp;" = "&amp;TEXT(J28,IF(J28&lt;0.1,"0.0000","#,##0.00"))&amp;" "&amp;HomeCcy))</f>
        <v/>
      </c>
    </row>
    <row r="29" customFormat="false" ht="15" hidden="false" customHeight="false" outlineLevel="0" collapsed="false">
      <c r="B29" s="19" t="s">
        <v>99</v>
      </c>
      <c r="G29" s="26" t="str">
        <f aca="false">IF(OR(J8="",J8=HomeCcy,J8="?"),"",J8)</f>
        <v/>
      </c>
      <c r="H29" s="36" t="str">
        <f aca="false">IF(G29="","",IFERROR(INDEX(Settings!$S$5:$S$64,MATCH(G29,Settings!$R$5:$R$64,0))/HomeINR,""))</f>
        <v/>
      </c>
      <c r="I29" s="40"/>
      <c r="J29" s="38" t="str">
        <f aca="false">IF(G29="","",IF(I29&lt;&gt;"",I29,H29))</f>
        <v/>
      </c>
      <c r="K29" s="39" t="str">
        <f aca="false">IF(G29="","",IF(J29="","⚠ Add this currency on Settings or type your rate","1 "&amp;G29&amp;" = "&amp;TEXT(J29,IF(J29&lt;0.1,"0.0000","#,##0.00"))&amp;" "&amp;HomeCcy))</f>
        <v/>
      </c>
    </row>
    <row r="30" customFormat="false" ht="30" hidden="false" customHeight="true" outlineLevel="0" collapsed="false">
      <c r="B30" s="22" t="s">
        <v>100</v>
      </c>
      <c r="C30" s="22" t="s">
        <v>101</v>
      </c>
      <c r="D30" s="22" t="s">
        <v>102</v>
      </c>
      <c r="E30" s="22" t="s">
        <v>103</v>
      </c>
      <c r="G30" s="26" t="str">
        <f aca="false">IF(OR(J9="",J9=HomeCcy,J9="?"),"",J9)</f>
        <v/>
      </c>
      <c r="H30" s="36" t="str">
        <f aca="false">IF(G30="","",IFERROR(INDEX(Settings!$S$5:$S$64,MATCH(G30,Settings!$R$5:$R$64,0))/HomeINR,""))</f>
        <v/>
      </c>
      <c r="I30" s="40"/>
      <c r="J30" s="38" t="str">
        <f aca="false">IF(G30="","",IF(I30&lt;&gt;"",I30,H30))</f>
        <v/>
      </c>
      <c r="K30" s="39" t="str">
        <f aca="false">IF(G30="","",IF(J30="","⚠ Add this currency on Settings or type your rate","1 "&amp;G30&amp;" = "&amp;TEXT(J30,IF(J30&lt;0.1,"0.0000","#,##0.00"))&amp;" "&amp;HomeCcy))</f>
        <v/>
      </c>
    </row>
    <row r="31" customFormat="false" ht="15" hidden="false" customHeight="false" outlineLevel="0" collapsed="false">
      <c r="B31" s="26" t="str">
        <f aca="false">IF(Settings!$A$5="","",Settings!$A$5)</f>
        <v>Flights</v>
      </c>
      <c r="C31" s="42" t="n">
        <f aca="false">IF(B31="","",Calc!$CA$2)</f>
        <v>0</v>
      </c>
      <c r="D31" s="43"/>
      <c r="E31" s="33" t="n">
        <f aca="false">IF(B31="","",IF(D31&lt;&gt;"",D31,C31))</f>
        <v>0</v>
      </c>
      <c r="G31" s="23" t="s">
        <v>104</v>
      </c>
      <c r="H31" s="36" t="n">
        <f aca="false">IF(G31="","",IFERROR(INDEX(Settings!$S$5:$S$64,MATCH(G31,Settings!$R$5:$R$64,0))/HomeINR,""))</f>
        <v>95.224524</v>
      </c>
      <c r="I31" s="40"/>
      <c r="J31" s="38" t="n">
        <f aca="false">IF(G31="","",IF(I31&lt;&gt;"",I31,H31))</f>
        <v>95.224524</v>
      </c>
      <c r="K31" s="39" t="str">
        <f aca="false">IF(G31="","",IF(J31="","⚠ Add this currency on Settings or type your rate","1 "&amp;G31&amp;" = "&amp;TEXT(J31,IF(J31&lt;0.1,"0.0000","#,##0.00"))&amp;" "&amp;HomeCcy))</f>
        <v>1 USD = 95.22 INR</v>
      </c>
    </row>
    <row r="32" customFormat="false" ht="15" hidden="false" customHeight="false" outlineLevel="0" collapsed="false">
      <c r="B32" s="26" t="str">
        <f aca="false">IF(Settings!$A$6="","",Settings!$A$6)</f>
        <v>Accommodation</v>
      </c>
      <c r="C32" s="42" t="n">
        <f aca="false">IF(B32="","",Calc!$CA$3)</f>
        <v>0</v>
      </c>
      <c r="D32" s="43"/>
      <c r="E32" s="33" t="n">
        <f aca="false">IF(B32="","",IF(D32&lt;&gt;"",D32,C32))</f>
        <v>0</v>
      </c>
      <c r="G32" s="23" t="s">
        <v>105</v>
      </c>
      <c r="H32" s="36" t="n">
        <f aca="false">IF(G32="","",IFERROR(INDEX(Settings!$S$5:$S$64,MATCH(G32,Settings!$R$5:$R$64,0))/HomeINR,""))</f>
        <v>106.62495</v>
      </c>
      <c r="I32" s="40"/>
      <c r="J32" s="38" t="n">
        <f aca="false">IF(G32="","",IF(I32&lt;&gt;"",I32,H32))</f>
        <v>106.62495</v>
      </c>
      <c r="K32" s="39" t="str">
        <f aca="false">IF(G32="","",IF(J32="","⚠ Add this currency on Settings or type your rate","1 "&amp;G32&amp;" = "&amp;TEXT(J32,IF(J32&lt;0.1,"0.0000","#,##0.00"))&amp;" "&amp;HomeCcy))</f>
        <v>1 EUR = 106.62 INR</v>
      </c>
    </row>
    <row r="33" customFormat="false" ht="15" hidden="false" customHeight="false" outlineLevel="0" collapsed="false">
      <c r="B33" s="26" t="str">
        <f aca="false">IF(Settings!$A$7="","",Settings!$A$7)</f>
        <v>Local transport</v>
      </c>
      <c r="C33" s="42" t="n">
        <f aca="false">IF(B33="","",Calc!$CA$4)</f>
        <v>0</v>
      </c>
      <c r="D33" s="43"/>
      <c r="E33" s="33" t="n">
        <f aca="false">IF(B33="","",IF(D33&lt;&gt;"",D33,C33))</f>
        <v>0</v>
      </c>
      <c r="G33" s="23"/>
      <c r="H33" s="36" t="str">
        <f aca="false">IF(G33="","",IFERROR(INDEX(Settings!$S$5:$S$64,MATCH(G33,Settings!$R$5:$R$64,0))/HomeINR,""))</f>
        <v/>
      </c>
      <c r="I33" s="40"/>
      <c r="J33" s="38" t="str">
        <f aca="false">IF(G33="","",IF(I33&lt;&gt;"",I33,H33))</f>
        <v/>
      </c>
      <c r="K33" s="39" t="str">
        <f aca="false">IF(G33="","",IF(J33="","⚠ Add this currency on Settings or type your rate","1 "&amp;G33&amp;" = "&amp;TEXT(J33,IF(J33&lt;0.1,"0.0000","#,##0.00"))&amp;" "&amp;HomeCcy))</f>
        <v/>
      </c>
    </row>
    <row r="34" customFormat="false" ht="15" hidden="false" customHeight="false" outlineLevel="0" collapsed="false">
      <c r="B34" s="26" t="str">
        <f aca="false">IF(Settings!$A$8="","",Settings!$A$8)</f>
        <v>Car rental &amp; fuel</v>
      </c>
      <c r="C34" s="42" t="n">
        <f aca="false">IF(B34="","",Calc!$CA$5)</f>
        <v>0</v>
      </c>
      <c r="D34" s="43"/>
      <c r="E34" s="33" t="n">
        <f aca="false">IF(B34="","",IF(D34&lt;&gt;"",D34,C34))</f>
        <v>0</v>
      </c>
      <c r="G34" s="41" t="s">
        <v>106</v>
      </c>
    </row>
    <row r="35" customFormat="false" ht="15" hidden="false" customHeight="false" outlineLevel="0" collapsed="false">
      <c r="B35" s="26" t="str">
        <f aca="false">IF(Settings!$A$9="","",Settings!$A$9)</f>
        <v>Trains &amp; buses</v>
      </c>
      <c r="C35" s="42" t="n">
        <f aca="false">IF(B35="","",Calc!$CA$6)</f>
        <v>0</v>
      </c>
      <c r="D35" s="43"/>
      <c r="E35" s="33" t="n">
        <f aca="false">IF(B35="","",IF(D35&lt;&gt;"",D35,C35))</f>
        <v>0</v>
      </c>
    </row>
    <row r="36" customFormat="false" ht="15" hidden="false" customHeight="false" outlineLevel="0" collapsed="false">
      <c r="B36" s="26" t="str">
        <f aca="false">IF(Settings!$A$10="","",Settings!$A$10)</f>
        <v>Tours &amp; activities</v>
      </c>
      <c r="C36" s="42" t="n">
        <f aca="false">IF(B36="","",Calc!$CA$7)</f>
        <v>0</v>
      </c>
      <c r="D36" s="43"/>
      <c r="E36" s="33" t="n">
        <f aca="false">IF(B36="","",IF(D36&lt;&gt;"",D36,C36))</f>
        <v>0</v>
      </c>
      <c r="G36" s="19" t="s">
        <v>107</v>
      </c>
    </row>
    <row r="37" customFormat="false" ht="15" hidden="false" customHeight="false" outlineLevel="0" collapsed="false">
      <c r="B37" s="26" t="str">
        <f aca="false">IF(Settings!$A$11="","",Settings!$A$11)</f>
        <v>Attraction tickets</v>
      </c>
      <c r="C37" s="42" t="n">
        <f aca="false">IF(B37="","",Calc!$CA$8)</f>
        <v>0</v>
      </c>
      <c r="D37" s="43"/>
      <c r="E37" s="33" t="n">
        <f aca="false">IF(B37="","",IF(D37&lt;&gt;"",D37,C37))</f>
        <v>0</v>
      </c>
      <c r="G37" s="44" t="s">
        <v>108</v>
      </c>
      <c r="H37" s="45" t="str">
        <f aca="false">Calc!$CC$13</f>
        <v/>
      </c>
      <c r="I37" s="45"/>
      <c r="J37" s="45"/>
      <c r="K37" s="45"/>
    </row>
    <row r="38" customFormat="false" ht="15" hidden="false" customHeight="false" outlineLevel="0" collapsed="false">
      <c r="B38" s="26" t="str">
        <f aca="false">IF(Settings!$A$12="","",Settings!$A$12)</f>
        <v>Food &amp; dining</v>
      </c>
      <c r="C38" s="42" t="n">
        <f aca="false">IF(B38="","",Calc!$CA$9)</f>
        <v>0</v>
      </c>
      <c r="D38" s="43"/>
      <c r="E38" s="33" t="n">
        <f aca="false">IF(B38="","",IF(D38&lt;&gt;"",D38,C38))</f>
        <v>0</v>
      </c>
      <c r="G38" s="44" t="s">
        <v>109</v>
      </c>
      <c r="H38" s="23"/>
      <c r="I38" s="23"/>
      <c r="J38" s="23"/>
      <c r="K38" s="23"/>
    </row>
    <row r="39" customFormat="false" ht="15" hidden="false" customHeight="false" outlineLevel="0" collapsed="false">
      <c r="B39" s="26" t="str">
        <f aca="false">IF(Settings!$A$13="","",Settings!$A$13)</f>
        <v>Groceries &amp; snacks</v>
      </c>
      <c r="C39" s="42" t="n">
        <f aca="false">IF(B39="","",Calc!$CA$10)</f>
        <v>0</v>
      </c>
      <c r="D39" s="43"/>
      <c r="E39" s="33" t="n">
        <f aca="false">IF(B39="","",IF(D39&lt;&gt;"",D39,C39))</f>
        <v>0</v>
      </c>
      <c r="G39" s="44" t="s">
        <v>110</v>
      </c>
      <c r="H39" s="23"/>
      <c r="I39" s="23"/>
      <c r="J39" s="23"/>
      <c r="K39" s="23"/>
    </row>
    <row r="40" customFormat="false" ht="15" hidden="false" customHeight="false" outlineLevel="0" collapsed="false">
      <c r="B40" s="26" t="str">
        <f aca="false">IF(Settings!$A$14="","",Settings!$A$14)</f>
        <v>Shopping &amp; souvenirs</v>
      </c>
      <c r="C40" s="42" t="n">
        <f aca="false">IF(B40="","",Calc!$CA$11)</f>
        <v>0</v>
      </c>
      <c r="D40" s="43"/>
      <c r="E40" s="33" t="n">
        <f aca="false">IF(B40="","",IF(D40&lt;&gt;"",D40,C40))</f>
        <v>0</v>
      </c>
      <c r="G40" s="44" t="s">
        <v>111</v>
      </c>
      <c r="H40" s="23"/>
      <c r="I40" s="23"/>
      <c r="J40" s="23"/>
      <c r="K40" s="23"/>
    </row>
    <row r="41" customFormat="false" ht="15" hidden="false" customHeight="false" outlineLevel="0" collapsed="false">
      <c r="B41" s="26" t="str">
        <f aca="false">IF(Settings!$A$15="","",Settings!$A$15)</f>
        <v>Visa &amp; documents</v>
      </c>
      <c r="C41" s="42" t="n">
        <f aca="false">IF(B41="","",Calc!$CA$12)</f>
        <v>0</v>
      </c>
      <c r="D41" s="43"/>
      <c r="E41" s="33" t="n">
        <f aca="false">IF(B41="","",IF(D41&lt;&gt;"",D41,C41))</f>
        <v>0</v>
      </c>
      <c r="G41" s="44" t="s">
        <v>112</v>
      </c>
      <c r="H41" s="23"/>
      <c r="I41" s="23"/>
      <c r="J41" s="23"/>
      <c r="K41" s="23"/>
    </row>
    <row r="42" customFormat="false" ht="15" hidden="false" customHeight="false" outlineLevel="0" collapsed="false">
      <c r="B42" s="26" t="str">
        <f aca="false">IF(Settings!$A$16="","",Settings!$A$16)</f>
        <v>Travel insurance</v>
      </c>
      <c r="C42" s="42" t="n">
        <f aca="false">IF(B42="","",Calc!$CA$13)</f>
        <v>0</v>
      </c>
      <c r="D42" s="43"/>
      <c r="E42" s="33" t="n">
        <f aca="false">IF(B42="","",IF(D42&lt;&gt;"",D42,C42))</f>
        <v>0</v>
      </c>
      <c r="G42" s="44" t="s">
        <v>113</v>
      </c>
      <c r="H42" s="23"/>
      <c r="I42" s="23"/>
      <c r="J42" s="23"/>
      <c r="K42" s="23"/>
    </row>
    <row r="43" customFormat="false" ht="15" hidden="false" customHeight="false" outlineLevel="0" collapsed="false">
      <c r="B43" s="26" t="str">
        <f aca="false">IF(Settings!$A$17="","",Settings!$A$17)</f>
        <v>SIM / eSIM &amp; internet</v>
      </c>
      <c r="C43" s="42" t="n">
        <f aca="false">IF(B43="","",Calc!$CA$14)</f>
        <v>0</v>
      </c>
      <c r="D43" s="43"/>
      <c r="E43" s="33" t="n">
        <f aca="false">IF(B43="","",IF(D43&lt;&gt;"",D43,C43))</f>
        <v>0</v>
      </c>
    </row>
    <row r="44" customFormat="false" ht="15" hidden="false" customHeight="false" outlineLevel="0" collapsed="false">
      <c r="B44" s="26" t="str">
        <f aca="false">IF(Settings!$A$18="","",Settings!$A$18)</f>
        <v>Forex &amp; bank fees</v>
      </c>
      <c r="C44" s="42" t="n">
        <f aca="false">IF(B44="","",Calc!$CA$15)</f>
        <v>0</v>
      </c>
      <c r="D44" s="43"/>
      <c r="E44" s="33" t="n">
        <f aca="false">IF(B44="","",IF(D44&lt;&gt;"",D44,C44))</f>
        <v>0</v>
      </c>
    </row>
    <row r="45" customFormat="false" ht="15" hidden="false" customHeight="false" outlineLevel="0" collapsed="false">
      <c r="B45" s="26" t="str">
        <f aca="false">IF(Settings!$A$19="","",Settings!$A$19)</f>
        <v>Tips &amp; service</v>
      </c>
      <c r="C45" s="42" t="n">
        <f aca="false">IF(B45="","",Calc!$CA$16)</f>
        <v>0</v>
      </c>
      <c r="D45" s="43"/>
      <c r="E45" s="33" t="n">
        <f aca="false">IF(B45="","",IF(D45&lt;&gt;"",D45,C45))</f>
        <v>0</v>
      </c>
    </row>
    <row r="46" customFormat="false" ht="15" hidden="false" customHeight="false" outlineLevel="0" collapsed="false">
      <c r="B46" s="26" t="str">
        <f aca="false">IF(Settings!$A$20="","",Settings!$A$20)</f>
        <v>Health &amp; pharmacy</v>
      </c>
      <c r="C46" s="42" t="n">
        <f aca="false">IF(B46="","",Calc!$CA$17)</f>
        <v>0</v>
      </c>
      <c r="D46" s="43"/>
      <c r="E46" s="33" t="n">
        <f aca="false">IF(B46="","",IF(D46&lt;&gt;"",D46,C46))</f>
        <v>0</v>
      </c>
    </row>
    <row r="47" customFormat="false" ht="15" hidden="false" customHeight="false" outlineLevel="0" collapsed="false">
      <c r="B47" s="26" t="str">
        <f aca="false">IF(Settings!$A$21="","",Settings!$A$21)</f>
        <v>Emergency / misc</v>
      </c>
      <c r="C47" s="42" t="n">
        <f aca="false">IF(B47="","",Calc!$CA$18)</f>
        <v>0</v>
      </c>
      <c r="D47" s="43"/>
      <c r="E47" s="33" t="n">
        <f aca="false">IF(B47="","",IF(D47&lt;&gt;"",D47,C47))</f>
        <v>0</v>
      </c>
    </row>
    <row r="48" customFormat="false" ht="15" hidden="false" customHeight="false" outlineLevel="0" collapsed="false">
      <c r="B48" s="26" t="str">
        <f aca="false">IF(Settings!$A$22="","",Settings!$A$22)</f>
        <v>Other</v>
      </c>
      <c r="C48" s="42" t="n">
        <f aca="false">IF(B48="","",Calc!$CA$19)</f>
        <v>0</v>
      </c>
      <c r="D48" s="43"/>
      <c r="E48" s="33" t="n">
        <f aca="false">IF(B48="","",IF(D48&lt;&gt;"",D48,C48))</f>
        <v>0</v>
      </c>
    </row>
    <row r="49" customFormat="false" ht="15" hidden="false" customHeight="false" outlineLevel="0" collapsed="false">
      <c r="B49" s="26" t="str">
        <f aca="false">IF(Settings!$A$23="","",Settings!$A$23)</f>
        <v/>
      </c>
      <c r="C49" s="42" t="str">
        <f aca="false">IF(B49="","",Calc!$CA$20)</f>
        <v/>
      </c>
      <c r="D49" s="43"/>
      <c r="E49" s="33" t="str">
        <f aca="false">IF(B49="","",IF(D49&lt;&gt;"",D49,C49))</f>
        <v/>
      </c>
    </row>
    <row r="50" customFormat="false" ht="15" hidden="false" customHeight="false" outlineLevel="0" collapsed="false">
      <c r="B50" s="26" t="str">
        <f aca="false">IF(Settings!$A$24="","",Settings!$A$24)</f>
        <v/>
      </c>
      <c r="C50" s="42" t="str">
        <f aca="false">IF(B50="","",Calc!$CA$21)</f>
        <v/>
      </c>
      <c r="D50" s="43"/>
      <c r="E50" s="33" t="str">
        <f aca="false">IF(B50="","",IF(D50&lt;&gt;"",D50,C50))</f>
        <v/>
      </c>
    </row>
    <row r="51" customFormat="false" ht="15" hidden="false" customHeight="false" outlineLevel="0" collapsed="false">
      <c r="B51" s="26" t="str">
        <f aca="false">IF(Settings!$A$25="","",Settings!$A$25)</f>
        <v/>
      </c>
      <c r="C51" s="42" t="str">
        <f aca="false">IF(B51="","",Calc!$CA$22)</f>
        <v/>
      </c>
      <c r="D51" s="43"/>
      <c r="E51" s="33" t="str">
        <f aca="false">IF(B51="","",IF(D51&lt;&gt;"",D51,C51))</f>
        <v/>
      </c>
    </row>
    <row r="52" customFormat="false" ht="15" hidden="false" customHeight="false" outlineLevel="0" collapsed="false">
      <c r="B52" s="26" t="str">
        <f aca="false">IF(Settings!$A$26="","",Settings!$A$26)</f>
        <v/>
      </c>
      <c r="C52" s="42" t="str">
        <f aca="false">IF(B52="","",Calc!$CA$23)</f>
        <v/>
      </c>
      <c r="D52" s="43"/>
      <c r="E52" s="33" t="str">
        <f aca="false">IF(B52="","",IF(D52&lt;&gt;"",D52,C52))</f>
        <v/>
      </c>
    </row>
    <row r="53" customFormat="false" ht="15" hidden="false" customHeight="false" outlineLevel="0" collapsed="false">
      <c r="B53" s="26" t="str">
        <f aca="false">IF(Settings!$A$27="","",Settings!$A$27)</f>
        <v/>
      </c>
      <c r="C53" s="42" t="str">
        <f aca="false">IF(B53="","",Calc!$CA$24)</f>
        <v/>
      </c>
      <c r="D53" s="43"/>
      <c r="E53" s="33" t="str">
        <f aca="false">IF(B53="","",IF(D53&lt;&gt;"",D53,C53))</f>
        <v/>
      </c>
    </row>
    <row r="54" customFormat="false" ht="15" hidden="false" customHeight="false" outlineLevel="0" collapsed="false">
      <c r="B54" s="26" t="str">
        <f aca="false">IF(Settings!$A$28="","",Settings!$A$28)</f>
        <v/>
      </c>
      <c r="C54" s="42" t="str">
        <f aca="false">IF(B54="","",Calc!$CA$25)</f>
        <v/>
      </c>
      <c r="D54" s="43"/>
      <c r="E54" s="33" t="str">
        <f aca="false">IF(B54="","",IF(D54&lt;&gt;"",D54,C54))</f>
        <v/>
      </c>
    </row>
    <row r="55" customFormat="false" ht="15" hidden="false" customHeight="false" outlineLevel="0" collapsed="false">
      <c r="B55" s="26" t="str">
        <f aca="false">IF(Settings!$A$29="","",Settings!$A$29)</f>
        <v/>
      </c>
      <c r="C55" s="42" t="str">
        <f aca="false">IF(B55="","",Calc!$CA$26)</f>
        <v/>
      </c>
      <c r="D55" s="43"/>
      <c r="E55" s="33" t="str">
        <f aca="false">IF(B55="","",IF(D55&lt;&gt;"",D55,C55))</f>
        <v/>
      </c>
    </row>
    <row r="56" customFormat="false" ht="15" hidden="false" customHeight="false" outlineLevel="0" collapsed="false">
      <c r="B56" s="10" t="s">
        <v>114</v>
      </c>
      <c r="C56" s="33" t="n">
        <f aca="false">SUM(C31:C55)</f>
        <v>0</v>
      </c>
      <c r="D56" s="33" t="n">
        <f aca="false">SUM(D31:D55)</f>
        <v>0</v>
      </c>
      <c r="E56" s="33" t="n">
        <f aca="false">SUM(E31:E55)</f>
        <v>0</v>
      </c>
    </row>
    <row r="57" customFormat="false" ht="15" hidden="false" customHeight="false" outlineLevel="0" collapsed="false">
      <c r="B57" s="41" t="s">
        <v>115</v>
      </c>
    </row>
    <row r="58" customFormat="false" ht="15" hidden="false" customHeight="false" outlineLevel="0" collapsed="false">
      <c r="B58" s="41" t="s">
        <v>116</v>
      </c>
    </row>
  </sheetData>
  <sheetProtection sheet="true" password="ecf5" formatRows="false"/>
  <mergeCells count="6">
    <mergeCell ref="H37:K37"/>
    <mergeCell ref="H38:K38"/>
    <mergeCell ref="H39:K39"/>
    <mergeCell ref="H40:K40"/>
    <mergeCell ref="H41:K41"/>
    <mergeCell ref="H42:K42"/>
  </mergeCells>
  <dataValidations count="9">
    <dataValidation allowBlank="true" error="Please pick from the list (click the ▼ arrow)." errorStyle="stop" errorTitle="Pick from the list" operator="between" prompt="Sets your home currency and flight-price estimates." promptTitle="Travelling from" showDropDown="false" showErrorMessage="true" showInputMessage="true" sqref="C6" type="list">
      <formula1>OriginList</formula1>
      <formula2>0</formula2>
    </dataValidation>
    <dataValidation allowBlank="true" error="Type a date like 20-Dec-26" errorStyle="stop" errorTitle="Date needed" operator="greaterThan" showDropDown="false" showErrorMessage="true" showInputMessage="false" sqref="C7:C8" type="date">
      <formula1>DATE(2000,1,1)</formula1>
      <formula2>0</formula2>
    </dataValidation>
    <dataValidation allowBlank="true" error="Please pick from the list (click the ▼ arrow)." errorStyle="stop" errorTitle="Pick from the list" operator="between" prompt="Changes the budget estimate. Edit multipliers on the Settings tab." promptTitle="Travel style" showDropDown="false" showErrorMessage="true" showInputMessage="true" sqref="C10" type="list">
      <formula1>StyleList</formula1>
      <formula2>0</formula2>
    </dataValidation>
    <dataValidation allowBlank="true" error="Please pick from the list (click the ▼ arrow)." errorStyle="stop" errorTitle="Pick from the list" operator="between" prompt="Picks the right packing list for you." promptTitle="Trip type" showDropDown="false" showErrorMessage="true" showInputMessage="true" sqref="C11" type="list">
      <formula1>TripTypeList</formula1>
      <formula2>0</formula2>
    </dataValidation>
    <dataValidation allowBlank="true" error="Please pick from the list (click the ▼ arrow)." errorStyle="stop" errorTitle="Pick from the list" operator="between" prompt="Every total in the planner uses this currency." promptTitle="Home currency" showDropDown="false" showErrorMessage="true" showInputMessage="true" sqref="C12" type="list">
      <formula1>OFFSET(Settings!$R$5,0,0,MAX(1,COUNTA(Settings!$R$5:$R$64)),1)</formula1>
      <formula2>0</formula2>
    </dataValidation>
    <dataValidation allowBlank="true" error="Please pick from the list (click the ▼ arrow)." errorStyle="stop" errorTitle="Pick from the list" operator="between" prompt="Pick a country. Currency, visa rule, emergency numbers and budget fill in automatically. Visiting 2+ countries? Add them below and (optionally) the days in each." promptTitle="Country" showDropDown="false" showErrorMessage="true" showInputMessage="true" sqref="G6:G9" type="list">
      <formula1>CountryList</formula1>
      <formula2>0</formula2>
    </dataValidation>
    <dataValidation allowBlank="true" error="Type a number only (no currency symbols)." errorStyle="stop" errorTitle="Number needed" operator="greaterThanOrEqual" showDropDown="false" showErrorMessage="true" showInputMessage="false" sqref="H6:H9 I27:I33 D31:D55" type="decimal">
      <formula1>0</formula1>
      <formula2>0</formula2>
    </dataValidation>
    <dataValidation allowBlank="true" error="Please pick from the list (click the ▼ arrow)." errorStyle="stop" errorTitle="Pick from the list" operator="between" prompt="Optional. Put couples, families or room-shares into a group so a cost can be split between them only. Name groups on the right first." promptTitle="Group" showDropDown="false" showErrorMessage="true" showInputMessage="true" sqref="C18:C27" type="list">
      <formula1>GroupList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G31:G33" type="list">
      <formula1>OFFSET(Settings!$R$5,0,0,MAX(1,COUNTA(Settings!$R$5:$R$64)),1)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T205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7"/>
    <col collapsed="false" customWidth="true" hidden="false" outlineLevel="0" max="2" min="2" style="0" width="19"/>
    <col collapsed="false" customWidth="true" hidden="false" outlineLevel="0" max="3" min="3" style="0" width="30"/>
    <col collapsed="false" customWidth="true" hidden="false" outlineLevel="0" max="4" min="4" style="0" width="12"/>
    <col collapsed="false" customWidth="true" hidden="false" outlineLevel="0" max="5" min="5" style="0" width="10"/>
    <col collapsed="false" customWidth="true" hidden="false" outlineLevel="0" max="6" min="6" style="0" width="12"/>
    <col collapsed="false" customWidth="true" hidden="false" outlineLevel="0" max="7" min="7" style="0" width="16"/>
    <col collapsed="false" customWidth="true" hidden="false" outlineLevel="0" max="8" min="8" style="0" width="15"/>
    <col collapsed="false" customWidth="true" hidden="false" outlineLevel="0" max="10" min="9" style="0" width="12"/>
    <col collapsed="false" customWidth="true" hidden="false" outlineLevel="0" max="12" min="11" style="0" width="11"/>
    <col collapsed="false" customWidth="true" hidden="false" outlineLevel="0" max="13" min="13" style="0" width="24"/>
    <col collapsed="false" customWidth="true" hidden="false" outlineLevel="0" max="14" min="14" style="0" width="5"/>
    <col collapsed="false" customWidth="true" hidden="false" outlineLevel="0" max="15" min="15" style="0" width="11"/>
    <col collapsed="false" customWidth="true" hidden="false" outlineLevel="0" max="16" min="16" style="0" width="8"/>
    <col collapsed="false" customWidth="true" hidden="false" outlineLevel="0" max="18" min="17" style="0" width="12"/>
    <col collapsed="false" customWidth="true" hidden="false" outlineLevel="0" max="20" min="19" style="0" width="13"/>
    <col collapsed="false" customWidth="true" hidden="false" outlineLevel="0" max="30" min="21" style="0" width="9"/>
    <col collapsed="false" customWidth="true" hidden="true" outlineLevel="0" max="46" min="31" style="0" width="13"/>
  </cols>
  <sheetData>
    <row r="1" customFormat="false" ht="33.75" hidden="false" customHeight="true" outlineLevel="0" collapsed="false">
      <c r="A1" s="16" t="s">
        <v>58</v>
      </c>
      <c r="B1" s="17" t="s">
        <v>117</v>
      </c>
    </row>
    <row r="2" customFormat="false" ht="15" hidden="false" customHeight="false" outlineLevel="0" collapsed="false">
      <c r="B2" s="18" t="s">
        <v>118</v>
      </c>
    </row>
    <row r="3" customFormat="false" ht="15" hidden="false" customHeight="false" outlineLevel="0" collapsed="false">
      <c r="B3" s="46" t="s">
        <v>119</v>
      </c>
      <c r="C3" s="47" t="n">
        <f aca="false">SUM(Q6:Q205)</f>
        <v>0</v>
      </c>
      <c r="D3" s="46" t="s">
        <v>120</v>
      </c>
      <c r="E3" s="47" t="n">
        <f aca="false">SUM(R6:R205)</f>
        <v>0</v>
      </c>
      <c r="F3" s="46" t="s">
        <v>121</v>
      </c>
      <c r="G3" s="47" t="n">
        <f aca="false">TotalBudget</f>
        <v>0</v>
      </c>
      <c r="H3" s="46" t="s">
        <v>122</v>
      </c>
      <c r="I3" s="47" t="n">
        <f aca="false">TotalBudget-SUM(S6:S205)</f>
        <v>0</v>
      </c>
    </row>
    <row r="4" customFormat="false" ht="18" hidden="false" customHeight="true" outlineLevel="0" collapsed="false">
      <c r="A4" s="48" t="s">
        <v>123</v>
      </c>
      <c r="B4" s="48"/>
      <c r="C4" s="48"/>
      <c r="D4" s="48"/>
      <c r="E4" s="48"/>
      <c r="F4" s="48"/>
      <c r="G4" s="48"/>
      <c r="H4" s="48"/>
      <c r="I4" s="49" t="s">
        <v>124</v>
      </c>
      <c r="J4" s="49"/>
      <c r="K4" s="49"/>
      <c r="L4" s="49"/>
      <c r="M4" s="49"/>
      <c r="N4" s="50" t="s">
        <v>125</v>
      </c>
      <c r="O4" s="50"/>
      <c r="P4" s="50"/>
      <c r="Q4" s="50"/>
      <c r="R4" s="50"/>
      <c r="S4" s="50"/>
      <c r="T4" s="50"/>
      <c r="U4" s="51" t="s">
        <v>126</v>
      </c>
      <c r="V4" s="51"/>
      <c r="W4" s="51"/>
      <c r="X4" s="51"/>
      <c r="Y4" s="51"/>
      <c r="Z4" s="51"/>
      <c r="AA4" s="51"/>
      <c r="AB4" s="51"/>
      <c r="AC4" s="51"/>
      <c r="AD4" s="51"/>
    </row>
    <row r="5" customFormat="false" ht="30" hidden="false" customHeight="true" outlineLevel="0" collapsed="false">
      <c r="A5" s="22" t="s">
        <v>127</v>
      </c>
      <c r="B5" s="22" t="s">
        <v>128</v>
      </c>
      <c r="C5" s="22" t="s">
        <v>129</v>
      </c>
      <c r="D5" s="22" t="s">
        <v>130</v>
      </c>
      <c r="E5" s="22" t="s">
        <v>131</v>
      </c>
      <c r="F5" s="22" t="s">
        <v>132</v>
      </c>
      <c r="G5" s="22" t="s">
        <v>133</v>
      </c>
      <c r="H5" s="22" t="s">
        <v>134</v>
      </c>
      <c r="I5" s="52" t="s">
        <v>135</v>
      </c>
      <c r="J5" s="52" t="s">
        <v>136</v>
      </c>
      <c r="K5" s="52" t="s">
        <v>137</v>
      </c>
      <c r="L5" s="52" t="s">
        <v>138</v>
      </c>
      <c r="M5" s="52" t="s">
        <v>139</v>
      </c>
      <c r="N5" s="53" t="s">
        <v>140</v>
      </c>
      <c r="O5" s="53" t="s">
        <v>141</v>
      </c>
      <c r="P5" s="53" t="s">
        <v>142</v>
      </c>
      <c r="Q5" s="54" t="str">
        <f aca="false">"Planned "&amp;HomeCcy</f>
        <v>Planned INR</v>
      </c>
      <c r="R5" s="54" t="str">
        <f aca="false">"Actual "&amp;HomeCcy</f>
        <v>Actual INR</v>
      </c>
      <c r="S5" s="54" t="str">
        <f aca="false">"Cost "&amp;HomeCcy</f>
        <v>Cost INR</v>
      </c>
      <c r="T5" s="53" t="s">
        <v>143</v>
      </c>
      <c r="U5" s="55" t="str">
        <f aca="false">IF(Setup!$B$18="","Person 1",Setup!$B$18)</f>
        <v>Person 1</v>
      </c>
      <c r="V5" s="55" t="str">
        <f aca="false">IF(Setup!$B$19="","Person 2",Setup!$B$19)</f>
        <v>Person 2</v>
      </c>
      <c r="W5" s="55" t="str">
        <f aca="false">IF(Setup!$B$20="","Person 3",Setup!$B$20)</f>
        <v>Person 3</v>
      </c>
      <c r="X5" s="55" t="str">
        <f aca="false">IF(Setup!$B$21="","Person 4",Setup!$B$21)</f>
        <v>Person 4</v>
      </c>
      <c r="Y5" s="55" t="str">
        <f aca="false">IF(Setup!$B$22="","Person 5",Setup!$B$22)</f>
        <v>Person 5</v>
      </c>
      <c r="Z5" s="55" t="str">
        <f aca="false">IF(Setup!$B$23="","Person 6",Setup!$B$23)</f>
        <v>Person 6</v>
      </c>
      <c r="AA5" s="55" t="str">
        <f aca="false">IF(Setup!$B$24="","Person 7",Setup!$B$24)</f>
        <v>Person 7</v>
      </c>
      <c r="AB5" s="55" t="str">
        <f aca="false">IF(Setup!$B$25="","Person 8",Setup!$B$25)</f>
        <v>Person 8</v>
      </c>
      <c r="AC5" s="55" t="str">
        <f aca="false">IF(Setup!$B$26="","Person 9",Setup!$B$26)</f>
        <v>Person 9</v>
      </c>
      <c r="AD5" s="55" t="str">
        <f aca="false">IF(Setup!$B$27="","Person 10",Setup!$B$27)</f>
        <v>Person 10</v>
      </c>
    </row>
    <row r="6" customFormat="false" ht="15" hidden="false" customHeight="false" outlineLevel="0" collapsed="false">
      <c r="A6" s="23"/>
      <c r="B6" s="23"/>
      <c r="C6" s="23"/>
      <c r="D6" s="56"/>
      <c r="E6" s="23"/>
      <c r="F6" s="23"/>
      <c r="G6" s="23"/>
      <c r="H6" s="23"/>
      <c r="I6" s="56"/>
      <c r="J6" s="23"/>
      <c r="K6" s="28"/>
      <c r="L6" s="23"/>
      <c r="M6" s="23"/>
      <c r="N6" s="25" t="str">
        <f aca="false">IF(A6="","",IF(LEFT(A6,3)="Pre",0,IFERROR(VALUE(MID(A6,5,FIND(" ",A6&amp;" ",5)-5)),"")))</f>
        <v/>
      </c>
      <c r="O6" s="57" t="str">
        <f aca="false">IF(N6="","",IF(N6=0,"Before trip",IF(TripStart="","",TripStart+N6-1)))</f>
        <v/>
      </c>
      <c r="P6" s="58" t="str">
        <f aca="false">IF(AND(D6="",I6=""),"",IF(OR(E6="",E6=HomeCcy),1,IFERROR(INDEX(Setup!$J$26:$J$33,MATCH(E6,Setup!$G$26:$G$33,0)),IFERROR(INDEX(Settings!$S$5:$S$64,MATCH(E6,Settings!$R$5:$R$64,0))/HomeINR,1))))</f>
        <v/>
      </c>
      <c r="Q6" s="34" t="str">
        <f aca="false">IF(D6="","",D6*P6)</f>
        <v/>
      </c>
      <c r="R6" s="34" t="str">
        <f aca="false">IF(I6="","",I6*P6)</f>
        <v/>
      </c>
      <c r="S6" s="33" t="n">
        <f aca="false">IF(H6="Cancelled",0,IF(R6&lt;&gt;"",R6,IF(Q6&lt;&gt;"",Q6,0)))</f>
        <v>0</v>
      </c>
      <c r="T6" s="45" t="str">
        <f aca="false">IF(S6=0,"",IF(SUM(AE6:AN6)=0,"⚠ nobody picked",COUNTIF(AE6:AN6,"&gt;0")&amp;" people"))</f>
        <v/>
      </c>
      <c r="U6" s="59"/>
      <c r="V6" s="59"/>
      <c r="W6" s="59"/>
      <c r="X6" s="59"/>
      <c r="Y6" s="59"/>
      <c r="Z6" s="59"/>
      <c r="AA6" s="59"/>
      <c r="AB6" s="59"/>
      <c r="AC6" s="59"/>
      <c r="AD6" s="59"/>
      <c r="AE6" s="60" t="n">
        <f aca="false">IF(OR($S6=0,Setup!$B$18=""),0,IF(OR($G6="",$G6="Everyone"),1,IF($G6="Custom",N(U6),IF(OR($G6=Setup!$B$18,AND(Setup!$C$18&lt;&gt;"",$G6=Setup!$C$18)),1,0))))</f>
        <v>0</v>
      </c>
      <c r="AF6" s="60" t="n">
        <f aca="false">IF(OR($S6=0,Setup!$B$19=""),0,IF(OR($G6="",$G6="Everyone"),1,IF($G6="Custom",N(V6),IF(OR($G6=Setup!$B$19,AND(Setup!$C$19&lt;&gt;"",$G6=Setup!$C$19)),1,0))))</f>
        <v>0</v>
      </c>
      <c r="AG6" s="60" t="n">
        <f aca="false">IF(OR($S6=0,Setup!$B$20=""),0,IF(OR($G6="",$G6="Everyone"),1,IF($G6="Custom",N(W6),IF(OR($G6=Setup!$B$20,AND(Setup!$C$20&lt;&gt;"",$G6=Setup!$C$20)),1,0))))</f>
        <v>0</v>
      </c>
      <c r="AH6" s="60" t="n">
        <f aca="false">IF(OR($S6=0,Setup!$B$21=""),0,IF(OR($G6="",$G6="Everyone"),1,IF($G6="Custom",N(X6),IF(OR($G6=Setup!$B$21,AND(Setup!$C$21&lt;&gt;"",$G6=Setup!$C$21)),1,0))))</f>
        <v>0</v>
      </c>
      <c r="AI6" s="60" t="n">
        <f aca="false">IF(OR($S6=0,Setup!$B$22=""),0,IF(OR($G6="",$G6="Everyone"),1,IF($G6="Custom",N(Y6),IF(OR($G6=Setup!$B$22,AND(Setup!$C$22&lt;&gt;"",$G6=Setup!$C$22)),1,0))))</f>
        <v>0</v>
      </c>
      <c r="AJ6" s="60" t="n">
        <f aca="false">IF(OR($S6=0,Setup!$B$23=""),0,IF(OR($G6="",$G6="Everyone"),1,IF($G6="Custom",N(Z6),IF(OR($G6=Setup!$B$23,AND(Setup!$C$23&lt;&gt;"",$G6=Setup!$C$23)),1,0))))</f>
        <v>0</v>
      </c>
      <c r="AK6" s="60" t="n">
        <f aca="false">IF(OR($S6=0,Setup!$B$24=""),0,IF(OR($G6="",$G6="Everyone"),1,IF($G6="Custom",N(AA6),IF(OR($G6=Setup!$B$24,AND(Setup!$C$24&lt;&gt;"",$G6=Setup!$C$24)),1,0))))</f>
        <v>0</v>
      </c>
      <c r="AL6" s="60" t="n">
        <f aca="false">IF(OR($S6=0,Setup!$B$25=""),0,IF(OR($G6="",$G6="Everyone"),1,IF($G6="Custom",N(AB6),IF(OR($G6=Setup!$B$25,AND(Setup!$C$25&lt;&gt;"",$G6=Setup!$C$25)),1,0))))</f>
        <v>0</v>
      </c>
      <c r="AM6" s="60" t="n">
        <f aca="false">IF(OR($S6=0,Setup!$B$26=""),0,IF(OR($G6="",$G6="Everyone"),1,IF($G6="Custom",N(AC6),IF(OR($G6=Setup!$B$26,AND(Setup!$C$26&lt;&gt;"",$G6=Setup!$C$26)),1,0))))</f>
        <v>0</v>
      </c>
      <c r="AN6" s="60" t="n">
        <f aca="false">IF(OR($S6=0,Setup!$B$27=""),0,IF(OR($G6="",$G6="Everyone"),1,IF($G6="Custom",N(AD6),IF(OR($G6=Setup!$B$27,AND(Setup!$C$27&lt;&gt;"",$G6=Setup!$C$27)),1,0))))</f>
        <v>0</v>
      </c>
      <c r="AO6" s="60" t="n">
        <f aca="false">IF(SUM(AE6:AN6)=0,1,SUM(AE6:AN6))</f>
        <v>1</v>
      </c>
      <c r="AP6" s="60" t="n">
        <f aca="false">IF(H6="Paid",1,0)</f>
        <v>0</v>
      </c>
      <c r="AQ6" s="60" t="n">
        <f aca="false">IF(AND(S6&gt;0,SUM(AE6:AN6)=0),S6,0)</f>
        <v>0</v>
      </c>
      <c r="AR6" s="60" t="str">
        <f aca="false">IF(AND(N6&lt;&gt;"",TodayDay&lt;&gt;"",N6=TodayDay),COUNTIF($N$6:N6,TodayDay),"")</f>
        <v/>
      </c>
      <c r="AS6" s="60" t="n">
        <f aca="false">IF(B6="",0,IF(COUNTIFS(Settings!$A$5:$A$29,B6,Settings!$B$5:$B$29,"Yes")&gt;0,1,0))</f>
        <v>0</v>
      </c>
      <c r="AT6" s="61" t="n">
        <f aca="false">IF(OR(N6="",TodayDay=""),IF(N6="",S6,0),IF(N6&lt;TodayDay,S6,0))</f>
        <v>0</v>
      </c>
    </row>
    <row r="7" customFormat="false" ht="15" hidden="false" customHeight="false" outlineLevel="0" collapsed="false">
      <c r="A7" s="23"/>
      <c r="B7" s="23"/>
      <c r="C7" s="23"/>
      <c r="D7" s="56"/>
      <c r="E7" s="23"/>
      <c r="F7" s="23"/>
      <c r="G7" s="23"/>
      <c r="H7" s="23"/>
      <c r="I7" s="56"/>
      <c r="J7" s="23"/>
      <c r="K7" s="28"/>
      <c r="L7" s="23"/>
      <c r="M7" s="23"/>
      <c r="N7" s="25" t="str">
        <f aca="false">IF(A7="","",IF(LEFT(A7,3)="Pre",0,IFERROR(VALUE(MID(A7,5,FIND(" ",A7&amp;" ",5)-5)),"")))</f>
        <v/>
      </c>
      <c r="O7" s="57" t="str">
        <f aca="false">IF(N7="","",IF(N7=0,"Before trip",IF(TripStart="","",TripStart+N7-1)))</f>
        <v/>
      </c>
      <c r="P7" s="58" t="str">
        <f aca="false">IF(AND(D7="",I7=""),"",IF(OR(E7="",E7=HomeCcy),1,IFERROR(INDEX(Setup!$J$26:$J$33,MATCH(E7,Setup!$G$26:$G$33,0)),IFERROR(INDEX(Settings!$S$5:$S$64,MATCH(E7,Settings!$R$5:$R$64,0))/HomeINR,1))))</f>
        <v/>
      </c>
      <c r="Q7" s="34" t="str">
        <f aca="false">IF(D7="","",D7*P7)</f>
        <v/>
      </c>
      <c r="R7" s="34" t="str">
        <f aca="false">IF(I7="","",I7*P7)</f>
        <v/>
      </c>
      <c r="S7" s="33" t="n">
        <f aca="false">IF(H7="Cancelled",0,IF(R7&lt;&gt;"",R7,IF(Q7&lt;&gt;"",Q7,0)))</f>
        <v>0</v>
      </c>
      <c r="T7" s="45" t="str">
        <f aca="false">IF(S7=0,"",IF(SUM(AE7:AN7)=0,"⚠ nobody picked",COUNTIF(AE7:AN7,"&gt;0")&amp;" people"))</f>
        <v/>
      </c>
      <c r="U7" s="59"/>
      <c r="V7" s="59"/>
      <c r="W7" s="59"/>
      <c r="X7" s="59"/>
      <c r="Y7" s="59"/>
      <c r="Z7" s="59"/>
      <c r="AA7" s="59"/>
      <c r="AB7" s="59"/>
      <c r="AC7" s="59"/>
      <c r="AD7" s="59"/>
      <c r="AE7" s="60" t="n">
        <f aca="false">IF(OR($S7=0,Setup!$B$18=""),0,IF(OR($G7="",$G7="Everyone"),1,IF($G7="Custom",N(U7),IF(OR($G7=Setup!$B$18,AND(Setup!$C$18&lt;&gt;"",$G7=Setup!$C$18)),1,0))))</f>
        <v>0</v>
      </c>
      <c r="AF7" s="60" t="n">
        <f aca="false">IF(OR($S7=0,Setup!$B$19=""),0,IF(OR($G7="",$G7="Everyone"),1,IF($G7="Custom",N(V7),IF(OR($G7=Setup!$B$19,AND(Setup!$C$19&lt;&gt;"",$G7=Setup!$C$19)),1,0))))</f>
        <v>0</v>
      </c>
      <c r="AG7" s="60" t="n">
        <f aca="false">IF(OR($S7=0,Setup!$B$20=""),0,IF(OR($G7="",$G7="Everyone"),1,IF($G7="Custom",N(W7),IF(OR($G7=Setup!$B$20,AND(Setup!$C$20&lt;&gt;"",$G7=Setup!$C$20)),1,0))))</f>
        <v>0</v>
      </c>
      <c r="AH7" s="60" t="n">
        <f aca="false">IF(OR($S7=0,Setup!$B$21=""),0,IF(OR($G7="",$G7="Everyone"),1,IF($G7="Custom",N(X7),IF(OR($G7=Setup!$B$21,AND(Setup!$C$21&lt;&gt;"",$G7=Setup!$C$21)),1,0))))</f>
        <v>0</v>
      </c>
      <c r="AI7" s="60" t="n">
        <f aca="false">IF(OR($S7=0,Setup!$B$22=""),0,IF(OR($G7="",$G7="Everyone"),1,IF($G7="Custom",N(Y7),IF(OR($G7=Setup!$B$22,AND(Setup!$C$22&lt;&gt;"",$G7=Setup!$C$22)),1,0))))</f>
        <v>0</v>
      </c>
      <c r="AJ7" s="60" t="n">
        <f aca="false">IF(OR($S7=0,Setup!$B$23=""),0,IF(OR($G7="",$G7="Everyone"),1,IF($G7="Custom",N(Z7),IF(OR($G7=Setup!$B$23,AND(Setup!$C$23&lt;&gt;"",$G7=Setup!$C$23)),1,0))))</f>
        <v>0</v>
      </c>
      <c r="AK7" s="60" t="n">
        <f aca="false">IF(OR($S7=0,Setup!$B$24=""),0,IF(OR($G7="",$G7="Everyone"),1,IF($G7="Custom",N(AA7),IF(OR($G7=Setup!$B$24,AND(Setup!$C$24&lt;&gt;"",$G7=Setup!$C$24)),1,0))))</f>
        <v>0</v>
      </c>
      <c r="AL7" s="60" t="n">
        <f aca="false">IF(OR($S7=0,Setup!$B$25=""),0,IF(OR($G7="",$G7="Everyone"),1,IF($G7="Custom",N(AB7),IF(OR($G7=Setup!$B$25,AND(Setup!$C$25&lt;&gt;"",$G7=Setup!$C$25)),1,0))))</f>
        <v>0</v>
      </c>
      <c r="AM7" s="60" t="n">
        <f aca="false">IF(OR($S7=0,Setup!$B$26=""),0,IF(OR($G7="",$G7="Everyone"),1,IF($G7="Custom",N(AC7),IF(OR($G7=Setup!$B$26,AND(Setup!$C$26&lt;&gt;"",$G7=Setup!$C$26)),1,0))))</f>
        <v>0</v>
      </c>
      <c r="AN7" s="60" t="n">
        <f aca="false">IF(OR($S7=0,Setup!$B$27=""),0,IF(OR($G7="",$G7="Everyone"),1,IF($G7="Custom",N(AD7),IF(OR($G7=Setup!$B$27,AND(Setup!$C$27&lt;&gt;"",$G7=Setup!$C$27)),1,0))))</f>
        <v>0</v>
      </c>
      <c r="AO7" s="60" t="n">
        <f aca="false">IF(SUM(AE7:AN7)=0,1,SUM(AE7:AN7))</f>
        <v>1</v>
      </c>
      <c r="AP7" s="60" t="n">
        <f aca="false">IF(H7="Paid",1,0)</f>
        <v>0</v>
      </c>
      <c r="AQ7" s="60" t="n">
        <f aca="false">IF(AND(S7&gt;0,SUM(AE7:AN7)=0),S7,0)</f>
        <v>0</v>
      </c>
      <c r="AR7" s="60" t="str">
        <f aca="false">IF(AND(N7&lt;&gt;"",TodayDay&lt;&gt;"",N7=TodayDay),COUNTIF($N$6:N7,TodayDay),"")</f>
        <v/>
      </c>
      <c r="AS7" s="60" t="n">
        <f aca="false">IF(B7="",0,IF(COUNTIFS(Settings!$A$5:$A$29,B7,Settings!$B$5:$B$29,"Yes")&gt;0,1,0))</f>
        <v>0</v>
      </c>
      <c r="AT7" s="61" t="n">
        <f aca="false">IF(OR(N7="",TodayDay=""),IF(N7="",S7,0),IF(N7&lt;TodayDay,S7,0))</f>
        <v>0</v>
      </c>
    </row>
    <row r="8" customFormat="false" ht="15" hidden="false" customHeight="false" outlineLevel="0" collapsed="false">
      <c r="A8" s="23"/>
      <c r="B8" s="23"/>
      <c r="C8" s="23"/>
      <c r="D8" s="56"/>
      <c r="E8" s="23"/>
      <c r="F8" s="23"/>
      <c r="G8" s="23"/>
      <c r="H8" s="23"/>
      <c r="I8" s="56"/>
      <c r="J8" s="23"/>
      <c r="K8" s="28"/>
      <c r="L8" s="23"/>
      <c r="M8" s="23"/>
      <c r="N8" s="25" t="str">
        <f aca="false">IF(A8="","",IF(LEFT(A8,3)="Pre",0,IFERROR(VALUE(MID(A8,5,FIND(" ",A8&amp;" ",5)-5)),"")))</f>
        <v/>
      </c>
      <c r="O8" s="57" t="str">
        <f aca="false">IF(N8="","",IF(N8=0,"Before trip",IF(TripStart="","",TripStart+N8-1)))</f>
        <v/>
      </c>
      <c r="P8" s="58" t="str">
        <f aca="false">IF(AND(D8="",I8=""),"",IF(OR(E8="",E8=HomeCcy),1,IFERROR(INDEX(Setup!$J$26:$J$33,MATCH(E8,Setup!$G$26:$G$33,0)),IFERROR(INDEX(Settings!$S$5:$S$64,MATCH(E8,Settings!$R$5:$R$64,0))/HomeINR,1))))</f>
        <v/>
      </c>
      <c r="Q8" s="34" t="str">
        <f aca="false">IF(D8="","",D8*P8)</f>
        <v/>
      </c>
      <c r="R8" s="34" t="str">
        <f aca="false">IF(I8="","",I8*P8)</f>
        <v/>
      </c>
      <c r="S8" s="33" t="n">
        <f aca="false">IF(H8="Cancelled",0,IF(R8&lt;&gt;"",R8,IF(Q8&lt;&gt;"",Q8,0)))</f>
        <v>0</v>
      </c>
      <c r="T8" s="45" t="str">
        <f aca="false">IF(S8=0,"",IF(SUM(AE8:AN8)=0,"⚠ nobody picked",COUNTIF(AE8:AN8,"&gt;0")&amp;" people"))</f>
        <v/>
      </c>
      <c r="U8" s="59"/>
      <c r="V8" s="59"/>
      <c r="W8" s="59"/>
      <c r="X8" s="59"/>
      <c r="Y8" s="59"/>
      <c r="Z8" s="59"/>
      <c r="AA8" s="59"/>
      <c r="AB8" s="59"/>
      <c r="AC8" s="59"/>
      <c r="AD8" s="59"/>
      <c r="AE8" s="60" t="n">
        <f aca="false">IF(OR($S8=0,Setup!$B$18=""),0,IF(OR($G8="",$G8="Everyone"),1,IF($G8="Custom",N(U8),IF(OR($G8=Setup!$B$18,AND(Setup!$C$18&lt;&gt;"",$G8=Setup!$C$18)),1,0))))</f>
        <v>0</v>
      </c>
      <c r="AF8" s="60" t="n">
        <f aca="false">IF(OR($S8=0,Setup!$B$19=""),0,IF(OR($G8="",$G8="Everyone"),1,IF($G8="Custom",N(V8),IF(OR($G8=Setup!$B$19,AND(Setup!$C$19&lt;&gt;"",$G8=Setup!$C$19)),1,0))))</f>
        <v>0</v>
      </c>
      <c r="AG8" s="60" t="n">
        <f aca="false">IF(OR($S8=0,Setup!$B$20=""),0,IF(OR($G8="",$G8="Everyone"),1,IF($G8="Custom",N(W8),IF(OR($G8=Setup!$B$20,AND(Setup!$C$20&lt;&gt;"",$G8=Setup!$C$20)),1,0))))</f>
        <v>0</v>
      </c>
      <c r="AH8" s="60" t="n">
        <f aca="false">IF(OR($S8=0,Setup!$B$21=""),0,IF(OR($G8="",$G8="Everyone"),1,IF($G8="Custom",N(X8),IF(OR($G8=Setup!$B$21,AND(Setup!$C$21&lt;&gt;"",$G8=Setup!$C$21)),1,0))))</f>
        <v>0</v>
      </c>
      <c r="AI8" s="60" t="n">
        <f aca="false">IF(OR($S8=0,Setup!$B$22=""),0,IF(OR($G8="",$G8="Everyone"),1,IF($G8="Custom",N(Y8),IF(OR($G8=Setup!$B$22,AND(Setup!$C$22&lt;&gt;"",$G8=Setup!$C$22)),1,0))))</f>
        <v>0</v>
      </c>
      <c r="AJ8" s="60" t="n">
        <f aca="false">IF(OR($S8=0,Setup!$B$23=""),0,IF(OR($G8="",$G8="Everyone"),1,IF($G8="Custom",N(Z8),IF(OR($G8=Setup!$B$23,AND(Setup!$C$23&lt;&gt;"",$G8=Setup!$C$23)),1,0))))</f>
        <v>0</v>
      </c>
      <c r="AK8" s="60" t="n">
        <f aca="false">IF(OR($S8=0,Setup!$B$24=""),0,IF(OR($G8="",$G8="Everyone"),1,IF($G8="Custom",N(AA8),IF(OR($G8=Setup!$B$24,AND(Setup!$C$24&lt;&gt;"",$G8=Setup!$C$24)),1,0))))</f>
        <v>0</v>
      </c>
      <c r="AL8" s="60" t="n">
        <f aca="false">IF(OR($S8=0,Setup!$B$25=""),0,IF(OR($G8="",$G8="Everyone"),1,IF($G8="Custom",N(AB8),IF(OR($G8=Setup!$B$25,AND(Setup!$C$25&lt;&gt;"",$G8=Setup!$C$25)),1,0))))</f>
        <v>0</v>
      </c>
      <c r="AM8" s="60" t="n">
        <f aca="false">IF(OR($S8=0,Setup!$B$26=""),0,IF(OR($G8="",$G8="Everyone"),1,IF($G8="Custom",N(AC8),IF(OR($G8=Setup!$B$26,AND(Setup!$C$26&lt;&gt;"",$G8=Setup!$C$26)),1,0))))</f>
        <v>0</v>
      </c>
      <c r="AN8" s="60" t="n">
        <f aca="false">IF(OR($S8=0,Setup!$B$27=""),0,IF(OR($G8="",$G8="Everyone"),1,IF($G8="Custom",N(AD8),IF(OR($G8=Setup!$B$27,AND(Setup!$C$27&lt;&gt;"",$G8=Setup!$C$27)),1,0))))</f>
        <v>0</v>
      </c>
      <c r="AO8" s="60" t="n">
        <f aca="false">IF(SUM(AE8:AN8)=0,1,SUM(AE8:AN8))</f>
        <v>1</v>
      </c>
      <c r="AP8" s="60" t="n">
        <f aca="false">IF(H8="Paid",1,0)</f>
        <v>0</v>
      </c>
      <c r="AQ8" s="60" t="n">
        <f aca="false">IF(AND(S8&gt;0,SUM(AE8:AN8)=0),S8,0)</f>
        <v>0</v>
      </c>
      <c r="AR8" s="60" t="str">
        <f aca="false">IF(AND(N8&lt;&gt;"",TodayDay&lt;&gt;"",N8=TodayDay),COUNTIF($N$6:N8,TodayDay),"")</f>
        <v/>
      </c>
      <c r="AS8" s="60" t="n">
        <f aca="false">IF(B8="",0,IF(COUNTIFS(Settings!$A$5:$A$29,B8,Settings!$B$5:$B$29,"Yes")&gt;0,1,0))</f>
        <v>0</v>
      </c>
      <c r="AT8" s="61" t="n">
        <f aca="false">IF(OR(N8="",TodayDay=""),IF(N8="",S8,0),IF(N8&lt;TodayDay,S8,0))</f>
        <v>0</v>
      </c>
    </row>
    <row r="9" customFormat="false" ht="15" hidden="false" customHeight="false" outlineLevel="0" collapsed="false">
      <c r="A9" s="23"/>
      <c r="B9" s="23"/>
      <c r="C9" s="23"/>
      <c r="D9" s="56"/>
      <c r="E9" s="23"/>
      <c r="F9" s="23"/>
      <c r="G9" s="23"/>
      <c r="H9" s="23"/>
      <c r="I9" s="56"/>
      <c r="J9" s="23"/>
      <c r="K9" s="28"/>
      <c r="L9" s="23"/>
      <c r="M9" s="23"/>
      <c r="N9" s="25" t="str">
        <f aca="false">IF(A9="","",IF(LEFT(A9,3)="Pre",0,IFERROR(VALUE(MID(A9,5,FIND(" ",A9&amp;" ",5)-5)),"")))</f>
        <v/>
      </c>
      <c r="O9" s="57" t="str">
        <f aca="false">IF(N9="","",IF(N9=0,"Before trip",IF(TripStart="","",TripStart+N9-1)))</f>
        <v/>
      </c>
      <c r="P9" s="58" t="str">
        <f aca="false">IF(AND(D9="",I9=""),"",IF(OR(E9="",E9=HomeCcy),1,IFERROR(INDEX(Setup!$J$26:$J$33,MATCH(E9,Setup!$G$26:$G$33,0)),IFERROR(INDEX(Settings!$S$5:$S$64,MATCH(E9,Settings!$R$5:$R$64,0))/HomeINR,1))))</f>
        <v/>
      </c>
      <c r="Q9" s="34" t="str">
        <f aca="false">IF(D9="","",D9*P9)</f>
        <v/>
      </c>
      <c r="R9" s="34" t="str">
        <f aca="false">IF(I9="","",I9*P9)</f>
        <v/>
      </c>
      <c r="S9" s="33" t="n">
        <f aca="false">IF(H9="Cancelled",0,IF(R9&lt;&gt;"",R9,IF(Q9&lt;&gt;"",Q9,0)))</f>
        <v>0</v>
      </c>
      <c r="T9" s="45" t="str">
        <f aca="false">IF(S9=0,"",IF(SUM(AE9:AN9)=0,"⚠ nobody picked",COUNTIF(AE9:AN9,"&gt;0")&amp;" people"))</f>
        <v/>
      </c>
      <c r="U9" s="59"/>
      <c r="V9" s="59"/>
      <c r="W9" s="59"/>
      <c r="X9" s="59"/>
      <c r="Y9" s="59"/>
      <c r="Z9" s="59"/>
      <c r="AA9" s="59"/>
      <c r="AB9" s="59"/>
      <c r="AC9" s="59"/>
      <c r="AD9" s="59"/>
      <c r="AE9" s="60" t="n">
        <f aca="false">IF(OR($S9=0,Setup!$B$18=""),0,IF(OR($G9="",$G9="Everyone"),1,IF($G9="Custom",N(U9),IF(OR($G9=Setup!$B$18,AND(Setup!$C$18&lt;&gt;"",$G9=Setup!$C$18)),1,0))))</f>
        <v>0</v>
      </c>
      <c r="AF9" s="60" t="n">
        <f aca="false">IF(OR($S9=0,Setup!$B$19=""),0,IF(OR($G9="",$G9="Everyone"),1,IF($G9="Custom",N(V9),IF(OR($G9=Setup!$B$19,AND(Setup!$C$19&lt;&gt;"",$G9=Setup!$C$19)),1,0))))</f>
        <v>0</v>
      </c>
      <c r="AG9" s="60" t="n">
        <f aca="false">IF(OR($S9=0,Setup!$B$20=""),0,IF(OR($G9="",$G9="Everyone"),1,IF($G9="Custom",N(W9),IF(OR($G9=Setup!$B$20,AND(Setup!$C$20&lt;&gt;"",$G9=Setup!$C$20)),1,0))))</f>
        <v>0</v>
      </c>
      <c r="AH9" s="60" t="n">
        <f aca="false">IF(OR($S9=0,Setup!$B$21=""),0,IF(OR($G9="",$G9="Everyone"),1,IF($G9="Custom",N(X9),IF(OR($G9=Setup!$B$21,AND(Setup!$C$21&lt;&gt;"",$G9=Setup!$C$21)),1,0))))</f>
        <v>0</v>
      </c>
      <c r="AI9" s="60" t="n">
        <f aca="false">IF(OR($S9=0,Setup!$B$22=""),0,IF(OR($G9="",$G9="Everyone"),1,IF($G9="Custom",N(Y9),IF(OR($G9=Setup!$B$22,AND(Setup!$C$22&lt;&gt;"",$G9=Setup!$C$22)),1,0))))</f>
        <v>0</v>
      </c>
      <c r="AJ9" s="60" t="n">
        <f aca="false">IF(OR($S9=0,Setup!$B$23=""),0,IF(OR($G9="",$G9="Everyone"),1,IF($G9="Custom",N(Z9),IF(OR($G9=Setup!$B$23,AND(Setup!$C$23&lt;&gt;"",$G9=Setup!$C$23)),1,0))))</f>
        <v>0</v>
      </c>
      <c r="AK9" s="60" t="n">
        <f aca="false">IF(OR($S9=0,Setup!$B$24=""),0,IF(OR($G9="",$G9="Everyone"),1,IF($G9="Custom",N(AA9),IF(OR($G9=Setup!$B$24,AND(Setup!$C$24&lt;&gt;"",$G9=Setup!$C$24)),1,0))))</f>
        <v>0</v>
      </c>
      <c r="AL9" s="60" t="n">
        <f aca="false">IF(OR($S9=0,Setup!$B$25=""),0,IF(OR($G9="",$G9="Everyone"),1,IF($G9="Custom",N(AB9),IF(OR($G9=Setup!$B$25,AND(Setup!$C$25&lt;&gt;"",$G9=Setup!$C$25)),1,0))))</f>
        <v>0</v>
      </c>
      <c r="AM9" s="60" t="n">
        <f aca="false">IF(OR($S9=0,Setup!$B$26=""),0,IF(OR($G9="",$G9="Everyone"),1,IF($G9="Custom",N(AC9),IF(OR($G9=Setup!$B$26,AND(Setup!$C$26&lt;&gt;"",$G9=Setup!$C$26)),1,0))))</f>
        <v>0</v>
      </c>
      <c r="AN9" s="60" t="n">
        <f aca="false">IF(OR($S9=0,Setup!$B$27=""),0,IF(OR($G9="",$G9="Everyone"),1,IF($G9="Custom",N(AD9),IF(OR($G9=Setup!$B$27,AND(Setup!$C$27&lt;&gt;"",$G9=Setup!$C$27)),1,0))))</f>
        <v>0</v>
      </c>
      <c r="AO9" s="60" t="n">
        <f aca="false">IF(SUM(AE9:AN9)=0,1,SUM(AE9:AN9))</f>
        <v>1</v>
      </c>
      <c r="AP9" s="60" t="n">
        <f aca="false">IF(H9="Paid",1,0)</f>
        <v>0</v>
      </c>
      <c r="AQ9" s="60" t="n">
        <f aca="false">IF(AND(S9&gt;0,SUM(AE9:AN9)=0),S9,0)</f>
        <v>0</v>
      </c>
      <c r="AR9" s="60" t="str">
        <f aca="false">IF(AND(N9&lt;&gt;"",TodayDay&lt;&gt;"",N9=TodayDay),COUNTIF($N$6:N9,TodayDay),"")</f>
        <v/>
      </c>
      <c r="AS9" s="60" t="n">
        <f aca="false">IF(B9="",0,IF(COUNTIFS(Settings!$A$5:$A$29,B9,Settings!$B$5:$B$29,"Yes")&gt;0,1,0))</f>
        <v>0</v>
      </c>
      <c r="AT9" s="61" t="n">
        <f aca="false">IF(OR(N9="",TodayDay=""),IF(N9="",S9,0),IF(N9&lt;TodayDay,S9,0))</f>
        <v>0</v>
      </c>
    </row>
    <row r="10" customFormat="false" ht="15" hidden="false" customHeight="false" outlineLevel="0" collapsed="false">
      <c r="A10" s="23"/>
      <c r="B10" s="23"/>
      <c r="C10" s="23"/>
      <c r="D10" s="56"/>
      <c r="E10" s="23"/>
      <c r="F10" s="23"/>
      <c r="G10" s="23"/>
      <c r="H10" s="23"/>
      <c r="I10" s="56"/>
      <c r="J10" s="23"/>
      <c r="K10" s="28"/>
      <c r="L10" s="23"/>
      <c r="M10" s="23"/>
      <c r="N10" s="25" t="str">
        <f aca="false">IF(A10="","",IF(LEFT(A10,3)="Pre",0,IFERROR(VALUE(MID(A10,5,FIND(" ",A10&amp;" ",5)-5)),"")))</f>
        <v/>
      </c>
      <c r="O10" s="57" t="str">
        <f aca="false">IF(N10="","",IF(N10=0,"Before trip",IF(TripStart="","",TripStart+N10-1)))</f>
        <v/>
      </c>
      <c r="P10" s="58" t="str">
        <f aca="false">IF(AND(D10="",I10=""),"",IF(OR(E10="",E10=HomeCcy),1,IFERROR(INDEX(Setup!$J$26:$J$33,MATCH(E10,Setup!$G$26:$G$33,0)),IFERROR(INDEX(Settings!$S$5:$S$64,MATCH(E10,Settings!$R$5:$R$64,0))/HomeINR,1))))</f>
        <v/>
      </c>
      <c r="Q10" s="34" t="str">
        <f aca="false">IF(D10="","",D10*P10)</f>
        <v/>
      </c>
      <c r="R10" s="34" t="str">
        <f aca="false">IF(I10="","",I10*P10)</f>
        <v/>
      </c>
      <c r="S10" s="33" t="n">
        <f aca="false">IF(H10="Cancelled",0,IF(R10&lt;&gt;"",R10,IF(Q10&lt;&gt;"",Q10,0)))</f>
        <v>0</v>
      </c>
      <c r="T10" s="45" t="str">
        <f aca="false">IF(S10=0,"",IF(SUM(AE10:AN10)=0,"⚠ nobody picked",COUNTIF(AE10:AN10,"&gt;0")&amp;" people"))</f>
        <v/>
      </c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60" t="n">
        <f aca="false">IF(OR($S10=0,Setup!$B$18=""),0,IF(OR($G10="",$G10="Everyone"),1,IF($G10="Custom",N(U10),IF(OR($G10=Setup!$B$18,AND(Setup!$C$18&lt;&gt;"",$G10=Setup!$C$18)),1,0))))</f>
        <v>0</v>
      </c>
      <c r="AF10" s="60" t="n">
        <f aca="false">IF(OR($S10=0,Setup!$B$19=""),0,IF(OR($G10="",$G10="Everyone"),1,IF($G10="Custom",N(V10),IF(OR($G10=Setup!$B$19,AND(Setup!$C$19&lt;&gt;"",$G10=Setup!$C$19)),1,0))))</f>
        <v>0</v>
      </c>
      <c r="AG10" s="60" t="n">
        <f aca="false">IF(OR($S10=0,Setup!$B$20=""),0,IF(OR($G10="",$G10="Everyone"),1,IF($G10="Custom",N(W10),IF(OR($G10=Setup!$B$20,AND(Setup!$C$20&lt;&gt;"",$G10=Setup!$C$20)),1,0))))</f>
        <v>0</v>
      </c>
      <c r="AH10" s="60" t="n">
        <f aca="false">IF(OR($S10=0,Setup!$B$21=""),0,IF(OR($G10="",$G10="Everyone"),1,IF($G10="Custom",N(X10),IF(OR($G10=Setup!$B$21,AND(Setup!$C$21&lt;&gt;"",$G10=Setup!$C$21)),1,0))))</f>
        <v>0</v>
      </c>
      <c r="AI10" s="60" t="n">
        <f aca="false">IF(OR($S10=0,Setup!$B$22=""),0,IF(OR($G10="",$G10="Everyone"),1,IF($G10="Custom",N(Y10),IF(OR($G10=Setup!$B$22,AND(Setup!$C$22&lt;&gt;"",$G10=Setup!$C$22)),1,0))))</f>
        <v>0</v>
      </c>
      <c r="AJ10" s="60" t="n">
        <f aca="false">IF(OR($S10=0,Setup!$B$23=""),0,IF(OR($G10="",$G10="Everyone"),1,IF($G10="Custom",N(Z10),IF(OR($G10=Setup!$B$23,AND(Setup!$C$23&lt;&gt;"",$G10=Setup!$C$23)),1,0))))</f>
        <v>0</v>
      </c>
      <c r="AK10" s="60" t="n">
        <f aca="false">IF(OR($S10=0,Setup!$B$24=""),0,IF(OR($G10="",$G10="Everyone"),1,IF($G10="Custom",N(AA10),IF(OR($G10=Setup!$B$24,AND(Setup!$C$24&lt;&gt;"",$G10=Setup!$C$24)),1,0))))</f>
        <v>0</v>
      </c>
      <c r="AL10" s="60" t="n">
        <f aca="false">IF(OR($S10=0,Setup!$B$25=""),0,IF(OR($G10="",$G10="Everyone"),1,IF($G10="Custom",N(AB10),IF(OR($G10=Setup!$B$25,AND(Setup!$C$25&lt;&gt;"",$G10=Setup!$C$25)),1,0))))</f>
        <v>0</v>
      </c>
      <c r="AM10" s="60" t="n">
        <f aca="false">IF(OR($S10=0,Setup!$B$26=""),0,IF(OR($G10="",$G10="Everyone"),1,IF($G10="Custom",N(AC10),IF(OR($G10=Setup!$B$26,AND(Setup!$C$26&lt;&gt;"",$G10=Setup!$C$26)),1,0))))</f>
        <v>0</v>
      </c>
      <c r="AN10" s="60" t="n">
        <f aca="false">IF(OR($S10=0,Setup!$B$27=""),0,IF(OR($G10="",$G10="Everyone"),1,IF($G10="Custom",N(AD10),IF(OR($G10=Setup!$B$27,AND(Setup!$C$27&lt;&gt;"",$G10=Setup!$C$27)),1,0))))</f>
        <v>0</v>
      </c>
      <c r="AO10" s="60" t="n">
        <f aca="false">IF(SUM(AE10:AN10)=0,1,SUM(AE10:AN10))</f>
        <v>1</v>
      </c>
      <c r="AP10" s="60" t="n">
        <f aca="false">IF(H10="Paid",1,0)</f>
        <v>0</v>
      </c>
      <c r="AQ10" s="60" t="n">
        <f aca="false">IF(AND(S10&gt;0,SUM(AE10:AN10)=0),S10,0)</f>
        <v>0</v>
      </c>
      <c r="AR10" s="60" t="str">
        <f aca="false">IF(AND(N10&lt;&gt;"",TodayDay&lt;&gt;"",N10=TodayDay),COUNTIF($N$6:N10,TodayDay),"")</f>
        <v/>
      </c>
      <c r="AS10" s="60" t="n">
        <f aca="false">IF(B10="",0,IF(COUNTIFS(Settings!$A$5:$A$29,B10,Settings!$B$5:$B$29,"Yes")&gt;0,1,0))</f>
        <v>0</v>
      </c>
      <c r="AT10" s="61" t="n">
        <f aca="false">IF(OR(N10="",TodayDay=""),IF(N10="",S10,0),IF(N10&lt;TodayDay,S10,0))</f>
        <v>0</v>
      </c>
    </row>
    <row r="11" customFormat="false" ht="15" hidden="false" customHeight="false" outlineLevel="0" collapsed="false">
      <c r="A11" s="23"/>
      <c r="B11" s="23"/>
      <c r="C11" s="23"/>
      <c r="D11" s="56"/>
      <c r="E11" s="23"/>
      <c r="F11" s="23"/>
      <c r="G11" s="23"/>
      <c r="H11" s="23"/>
      <c r="I11" s="56"/>
      <c r="J11" s="23"/>
      <c r="K11" s="28"/>
      <c r="L11" s="23"/>
      <c r="M11" s="23"/>
      <c r="N11" s="25" t="str">
        <f aca="false">IF(A11="","",IF(LEFT(A11,3)="Pre",0,IFERROR(VALUE(MID(A11,5,FIND(" ",A11&amp;" ",5)-5)),"")))</f>
        <v/>
      </c>
      <c r="O11" s="57" t="str">
        <f aca="false">IF(N11="","",IF(N11=0,"Before trip",IF(TripStart="","",TripStart+N11-1)))</f>
        <v/>
      </c>
      <c r="P11" s="58" t="str">
        <f aca="false">IF(AND(D11="",I11=""),"",IF(OR(E11="",E11=HomeCcy),1,IFERROR(INDEX(Setup!$J$26:$J$33,MATCH(E11,Setup!$G$26:$G$33,0)),IFERROR(INDEX(Settings!$S$5:$S$64,MATCH(E11,Settings!$R$5:$R$64,0))/HomeINR,1))))</f>
        <v/>
      </c>
      <c r="Q11" s="34" t="str">
        <f aca="false">IF(D11="","",D11*P11)</f>
        <v/>
      </c>
      <c r="R11" s="34" t="str">
        <f aca="false">IF(I11="","",I11*P11)</f>
        <v/>
      </c>
      <c r="S11" s="33" t="n">
        <f aca="false">IF(H11="Cancelled",0,IF(R11&lt;&gt;"",R11,IF(Q11&lt;&gt;"",Q11,0)))</f>
        <v>0</v>
      </c>
      <c r="T11" s="45" t="str">
        <f aca="false">IF(S11=0,"",IF(SUM(AE11:AN11)=0,"⚠ nobody picked",COUNTIF(AE11:AN11,"&gt;0")&amp;" people"))</f>
        <v/>
      </c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60" t="n">
        <f aca="false">IF(OR($S11=0,Setup!$B$18=""),0,IF(OR($G11="",$G11="Everyone"),1,IF($G11="Custom",N(U11),IF(OR($G11=Setup!$B$18,AND(Setup!$C$18&lt;&gt;"",$G11=Setup!$C$18)),1,0))))</f>
        <v>0</v>
      </c>
      <c r="AF11" s="60" t="n">
        <f aca="false">IF(OR($S11=0,Setup!$B$19=""),0,IF(OR($G11="",$G11="Everyone"),1,IF($G11="Custom",N(V11),IF(OR($G11=Setup!$B$19,AND(Setup!$C$19&lt;&gt;"",$G11=Setup!$C$19)),1,0))))</f>
        <v>0</v>
      </c>
      <c r="AG11" s="60" t="n">
        <f aca="false">IF(OR($S11=0,Setup!$B$20=""),0,IF(OR($G11="",$G11="Everyone"),1,IF($G11="Custom",N(W11),IF(OR($G11=Setup!$B$20,AND(Setup!$C$20&lt;&gt;"",$G11=Setup!$C$20)),1,0))))</f>
        <v>0</v>
      </c>
      <c r="AH11" s="60" t="n">
        <f aca="false">IF(OR($S11=0,Setup!$B$21=""),0,IF(OR($G11="",$G11="Everyone"),1,IF($G11="Custom",N(X11),IF(OR($G11=Setup!$B$21,AND(Setup!$C$21&lt;&gt;"",$G11=Setup!$C$21)),1,0))))</f>
        <v>0</v>
      </c>
      <c r="AI11" s="60" t="n">
        <f aca="false">IF(OR($S11=0,Setup!$B$22=""),0,IF(OR($G11="",$G11="Everyone"),1,IF($G11="Custom",N(Y11),IF(OR($G11=Setup!$B$22,AND(Setup!$C$22&lt;&gt;"",$G11=Setup!$C$22)),1,0))))</f>
        <v>0</v>
      </c>
      <c r="AJ11" s="60" t="n">
        <f aca="false">IF(OR($S11=0,Setup!$B$23=""),0,IF(OR($G11="",$G11="Everyone"),1,IF($G11="Custom",N(Z11),IF(OR($G11=Setup!$B$23,AND(Setup!$C$23&lt;&gt;"",$G11=Setup!$C$23)),1,0))))</f>
        <v>0</v>
      </c>
      <c r="AK11" s="60" t="n">
        <f aca="false">IF(OR($S11=0,Setup!$B$24=""),0,IF(OR($G11="",$G11="Everyone"),1,IF($G11="Custom",N(AA11),IF(OR($G11=Setup!$B$24,AND(Setup!$C$24&lt;&gt;"",$G11=Setup!$C$24)),1,0))))</f>
        <v>0</v>
      </c>
      <c r="AL11" s="60" t="n">
        <f aca="false">IF(OR($S11=0,Setup!$B$25=""),0,IF(OR($G11="",$G11="Everyone"),1,IF($G11="Custom",N(AB11),IF(OR($G11=Setup!$B$25,AND(Setup!$C$25&lt;&gt;"",$G11=Setup!$C$25)),1,0))))</f>
        <v>0</v>
      </c>
      <c r="AM11" s="60" t="n">
        <f aca="false">IF(OR($S11=0,Setup!$B$26=""),0,IF(OR($G11="",$G11="Everyone"),1,IF($G11="Custom",N(AC11),IF(OR($G11=Setup!$B$26,AND(Setup!$C$26&lt;&gt;"",$G11=Setup!$C$26)),1,0))))</f>
        <v>0</v>
      </c>
      <c r="AN11" s="60" t="n">
        <f aca="false">IF(OR($S11=0,Setup!$B$27=""),0,IF(OR($G11="",$G11="Everyone"),1,IF($G11="Custom",N(AD11),IF(OR($G11=Setup!$B$27,AND(Setup!$C$27&lt;&gt;"",$G11=Setup!$C$27)),1,0))))</f>
        <v>0</v>
      </c>
      <c r="AO11" s="60" t="n">
        <f aca="false">IF(SUM(AE11:AN11)=0,1,SUM(AE11:AN11))</f>
        <v>1</v>
      </c>
      <c r="AP11" s="60" t="n">
        <f aca="false">IF(H11="Paid",1,0)</f>
        <v>0</v>
      </c>
      <c r="AQ11" s="60" t="n">
        <f aca="false">IF(AND(S11&gt;0,SUM(AE11:AN11)=0),S11,0)</f>
        <v>0</v>
      </c>
      <c r="AR11" s="60" t="str">
        <f aca="false">IF(AND(N11&lt;&gt;"",TodayDay&lt;&gt;"",N11=TodayDay),COUNTIF($N$6:N11,TodayDay),"")</f>
        <v/>
      </c>
      <c r="AS11" s="60" t="n">
        <f aca="false">IF(B11="",0,IF(COUNTIFS(Settings!$A$5:$A$29,B11,Settings!$B$5:$B$29,"Yes")&gt;0,1,0))</f>
        <v>0</v>
      </c>
      <c r="AT11" s="61" t="n">
        <f aca="false">IF(OR(N11="",TodayDay=""),IF(N11="",S11,0),IF(N11&lt;TodayDay,S11,0))</f>
        <v>0</v>
      </c>
    </row>
    <row r="12" customFormat="false" ht="15" hidden="false" customHeight="false" outlineLevel="0" collapsed="false">
      <c r="A12" s="23"/>
      <c r="B12" s="23"/>
      <c r="C12" s="23"/>
      <c r="D12" s="56"/>
      <c r="E12" s="23"/>
      <c r="F12" s="23"/>
      <c r="G12" s="23"/>
      <c r="H12" s="23"/>
      <c r="I12" s="56"/>
      <c r="J12" s="23"/>
      <c r="K12" s="28"/>
      <c r="L12" s="23"/>
      <c r="M12" s="23"/>
      <c r="N12" s="25" t="str">
        <f aca="false">IF(A12="","",IF(LEFT(A12,3)="Pre",0,IFERROR(VALUE(MID(A12,5,FIND(" ",A12&amp;" ",5)-5)),"")))</f>
        <v/>
      </c>
      <c r="O12" s="57" t="str">
        <f aca="false">IF(N12="","",IF(N12=0,"Before trip",IF(TripStart="","",TripStart+N12-1)))</f>
        <v/>
      </c>
      <c r="P12" s="58" t="str">
        <f aca="false">IF(AND(D12="",I12=""),"",IF(OR(E12="",E12=HomeCcy),1,IFERROR(INDEX(Setup!$J$26:$J$33,MATCH(E12,Setup!$G$26:$G$33,0)),IFERROR(INDEX(Settings!$S$5:$S$64,MATCH(E12,Settings!$R$5:$R$64,0))/HomeINR,1))))</f>
        <v/>
      </c>
      <c r="Q12" s="34" t="str">
        <f aca="false">IF(D12="","",D12*P12)</f>
        <v/>
      </c>
      <c r="R12" s="34" t="str">
        <f aca="false">IF(I12="","",I12*P12)</f>
        <v/>
      </c>
      <c r="S12" s="33" t="n">
        <f aca="false">IF(H12="Cancelled",0,IF(R12&lt;&gt;"",R12,IF(Q12&lt;&gt;"",Q12,0)))</f>
        <v>0</v>
      </c>
      <c r="T12" s="45" t="str">
        <f aca="false">IF(S12=0,"",IF(SUM(AE12:AN12)=0,"⚠ nobody picked",COUNTIF(AE12:AN12,"&gt;0")&amp;" people"))</f>
        <v/>
      </c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60" t="n">
        <f aca="false">IF(OR($S12=0,Setup!$B$18=""),0,IF(OR($G12="",$G12="Everyone"),1,IF($G12="Custom",N(U12),IF(OR($G12=Setup!$B$18,AND(Setup!$C$18&lt;&gt;"",$G12=Setup!$C$18)),1,0))))</f>
        <v>0</v>
      </c>
      <c r="AF12" s="60" t="n">
        <f aca="false">IF(OR($S12=0,Setup!$B$19=""),0,IF(OR($G12="",$G12="Everyone"),1,IF($G12="Custom",N(V12),IF(OR($G12=Setup!$B$19,AND(Setup!$C$19&lt;&gt;"",$G12=Setup!$C$19)),1,0))))</f>
        <v>0</v>
      </c>
      <c r="AG12" s="60" t="n">
        <f aca="false">IF(OR($S12=0,Setup!$B$20=""),0,IF(OR($G12="",$G12="Everyone"),1,IF($G12="Custom",N(W12),IF(OR($G12=Setup!$B$20,AND(Setup!$C$20&lt;&gt;"",$G12=Setup!$C$20)),1,0))))</f>
        <v>0</v>
      </c>
      <c r="AH12" s="60" t="n">
        <f aca="false">IF(OR($S12=0,Setup!$B$21=""),0,IF(OR($G12="",$G12="Everyone"),1,IF($G12="Custom",N(X12),IF(OR($G12=Setup!$B$21,AND(Setup!$C$21&lt;&gt;"",$G12=Setup!$C$21)),1,0))))</f>
        <v>0</v>
      </c>
      <c r="AI12" s="60" t="n">
        <f aca="false">IF(OR($S12=0,Setup!$B$22=""),0,IF(OR($G12="",$G12="Everyone"),1,IF($G12="Custom",N(Y12),IF(OR($G12=Setup!$B$22,AND(Setup!$C$22&lt;&gt;"",$G12=Setup!$C$22)),1,0))))</f>
        <v>0</v>
      </c>
      <c r="AJ12" s="60" t="n">
        <f aca="false">IF(OR($S12=0,Setup!$B$23=""),0,IF(OR($G12="",$G12="Everyone"),1,IF($G12="Custom",N(Z12),IF(OR($G12=Setup!$B$23,AND(Setup!$C$23&lt;&gt;"",$G12=Setup!$C$23)),1,0))))</f>
        <v>0</v>
      </c>
      <c r="AK12" s="60" t="n">
        <f aca="false">IF(OR($S12=0,Setup!$B$24=""),0,IF(OR($G12="",$G12="Everyone"),1,IF($G12="Custom",N(AA12),IF(OR($G12=Setup!$B$24,AND(Setup!$C$24&lt;&gt;"",$G12=Setup!$C$24)),1,0))))</f>
        <v>0</v>
      </c>
      <c r="AL12" s="60" t="n">
        <f aca="false">IF(OR($S12=0,Setup!$B$25=""),0,IF(OR($G12="",$G12="Everyone"),1,IF($G12="Custom",N(AB12),IF(OR($G12=Setup!$B$25,AND(Setup!$C$25&lt;&gt;"",$G12=Setup!$C$25)),1,0))))</f>
        <v>0</v>
      </c>
      <c r="AM12" s="60" t="n">
        <f aca="false">IF(OR($S12=0,Setup!$B$26=""),0,IF(OR($G12="",$G12="Everyone"),1,IF($G12="Custom",N(AC12),IF(OR($G12=Setup!$B$26,AND(Setup!$C$26&lt;&gt;"",$G12=Setup!$C$26)),1,0))))</f>
        <v>0</v>
      </c>
      <c r="AN12" s="60" t="n">
        <f aca="false">IF(OR($S12=0,Setup!$B$27=""),0,IF(OR($G12="",$G12="Everyone"),1,IF($G12="Custom",N(AD12),IF(OR($G12=Setup!$B$27,AND(Setup!$C$27&lt;&gt;"",$G12=Setup!$C$27)),1,0))))</f>
        <v>0</v>
      </c>
      <c r="AO12" s="60" t="n">
        <f aca="false">IF(SUM(AE12:AN12)=0,1,SUM(AE12:AN12))</f>
        <v>1</v>
      </c>
      <c r="AP12" s="60" t="n">
        <f aca="false">IF(H12="Paid",1,0)</f>
        <v>0</v>
      </c>
      <c r="AQ12" s="60" t="n">
        <f aca="false">IF(AND(S12&gt;0,SUM(AE12:AN12)=0),S12,0)</f>
        <v>0</v>
      </c>
      <c r="AR12" s="60" t="str">
        <f aca="false">IF(AND(N12&lt;&gt;"",TodayDay&lt;&gt;"",N12=TodayDay),COUNTIF($N$6:N12,TodayDay),"")</f>
        <v/>
      </c>
      <c r="AS12" s="60" t="n">
        <f aca="false">IF(B12="",0,IF(COUNTIFS(Settings!$A$5:$A$29,B12,Settings!$B$5:$B$29,"Yes")&gt;0,1,0))</f>
        <v>0</v>
      </c>
      <c r="AT12" s="61" t="n">
        <f aca="false">IF(OR(N12="",TodayDay=""),IF(N12="",S12,0),IF(N12&lt;TodayDay,S12,0))</f>
        <v>0</v>
      </c>
    </row>
    <row r="13" customFormat="false" ht="15" hidden="false" customHeight="false" outlineLevel="0" collapsed="false">
      <c r="A13" s="23"/>
      <c r="B13" s="23"/>
      <c r="C13" s="23"/>
      <c r="D13" s="56"/>
      <c r="E13" s="23"/>
      <c r="F13" s="23"/>
      <c r="G13" s="23"/>
      <c r="H13" s="23"/>
      <c r="I13" s="56"/>
      <c r="J13" s="23"/>
      <c r="K13" s="28"/>
      <c r="L13" s="23"/>
      <c r="M13" s="23"/>
      <c r="N13" s="25" t="str">
        <f aca="false">IF(A13="","",IF(LEFT(A13,3)="Pre",0,IFERROR(VALUE(MID(A13,5,FIND(" ",A13&amp;" ",5)-5)),"")))</f>
        <v/>
      </c>
      <c r="O13" s="57" t="str">
        <f aca="false">IF(N13="","",IF(N13=0,"Before trip",IF(TripStart="","",TripStart+N13-1)))</f>
        <v/>
      </c>
      <c r="P13" s="58" t="str">
        <f aca="false">IF(AND(D13="",I13=""),"",IF(OR(E13="",E13=HomeCcy),1,IFERROR(INDEX(Setup!$J$26:$J$33,MATCH(E13,Setup!$G$26:$G$33,0)),IFERROR(INDEX(Settings!$S$5:$S$64,MATCH(E13,Settings!$R$5:$R$64,0))/HomeINR,1))))</f>
        <v/>
      </c>
      <c r="Q13" s="34" t="str">
        <f aca="false">IF(D13="","",D13*P13)</f>
        <v/>
      </c>
      <c r="R13" s="34" t="str">
        <f aca="false">IF(I13="","",I13*P13)</f>
        <v/>
      </c>
      <c r="S13" s="33" t="n">
        <f aca="false">IF(H13="Cancelled",0,IF(R13&lt;&gt;"",R13,IF(Q13&lt;&gt;"",Q13,0)))</f>
        <v>0</v>
      </c>
      <c r="T13" s="45" t="str">
        <f aca="false">IF(S13=0,"",IF(SUM(AE13:AN13)=0,"⚠ nobody picked",COUNTIF(AE13:AN13,"&gt;0")&amp;" people"))</f>
        <v/>
      </c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60" t="n">
        <f aca="false">IF(OR($S13=0,Setup!$B$18=""),0,IF(OR($G13="",$G13="Everyone"),1,IF($G13="Custom",N(U13),IF(OR($G13=Setup!$B$18,AND(Setup!$C$18&lt;&gt;"",$G13=Setup!$C$18)),1,0))))</f>
        <v>0</v>
      </c>
      <c r="AF13" s="60" t="n">
        <f aca="false">IF(OR($S13=0,Setup!$B$19=""),0,IF(OR($G13="",$G13="Everyone"),1,IF($G13="Custom",N(V13),IF(OR($G13=Setup!$B$19,AND(Setup!$C$19&lt;&gt;"",$G13=Setup!$C$19)),1,0))))</f>
        <v>0</v>
      </c>
      <c r="AG13" s="60" t="n">
        <f aca="false">IF(OR($S13=0,Setup!$B$20=""),0,IF(OR($G13="",$G13="Everyone"),1,IF($G13="Custom",N(W13),IF(OR($G13=Setup!$B$20,AND(Setup!$C$20&lt;&gt;"",$G13=Setup!$C$20)),1,0))))</f>
        <v>0</v>
      </c>
      <c r="AH13" s="60" t="n">
        <f aca="false">IF(OR($S13=0,Setup!$B$21=""),0,IF(OR($G13="",$G13="Everyone"),1,IF($G13="Custom",N(X13),IF(OR($G13=Setup!$B$21,AND(Setup!$C$21&lt;&gt;"",$G13=Setup!$C$21)),1,0))))</f>
        <v>0</v>
      </c>
      <c r="AI13" s="60" t="n">
        <f aca="false">IF(OR($S13=0,Setup!$B$22=""),0,IF(OR($G13="",$G13="Everyone"),1,IF($G13="Custom",N(Y13),IF(OR($G13=Setup!$B$22,AND(Setup!$C$22&lt;&gt;"",$G13=Setup!$C$22)),1,0))))</f>
        <v>0</v>
      </c>
      <c r="AJ13" s="60" t="n">
        <f aca="false">IF(OR($S13=0,Setup!$B$23=""),0,IF(OR($G13="",$G13="Everyone"),1,IF($G13="Custom",N(Z13),IF(OR($G13=Setup!$B$23,AND(Setup!$C$23&lt;&gt;"",$G13=Setup!$C$23)),1,0))))</f>
        <v>0</v>
      </c>
      <c r="AK13" s="60" t="n">
        <f aca="false">IF(OR($S13=0,Setup!$B$24=""),0,IF(OR($G13="",$G13="Everyone"),1,IF($G13="Custom",N(AA13),IF(OR($G13=Setup!$B$24,AND(Setup!$C$24&lt;&gt;"",$G13=Setup!$C$24)),1,0))))</f>
        <v>0</v>
      </c>
      <c r="AL13" s="60" t="n">
        <f aca="false">IF(OR($S13=0,Setup!$B$25=""),0,IF(OR($G13="",$G13="Everyone"),1,IF($G13="Custom",N(AB13),IF(OR($G13=Setup!$B$25,AND(Setup!$C$25&lt;&gt;"",$G13=Setup!$C$25)),1,0))))</f>
        <v>0</v>
      </c>
      <c r="AM13" s="60" t="n">
        <f aca="false">IF(OR($S13=0,Setup!$B$26=""),0,IF(OR($G13="",$G13="Everyone"),1,IF($G13="Custom",N(AC13),IF(OR($G13=Setup!$B$26,AND(Setup!$C$26&lt;&gt;"",$G13=Setup!$C$26)),1,0))))</f>
        <v>0</v>
      </c>
      <c r="AN13" s="60" t="n">
        <f aca="false">IF(OR($S13=0,Setup!$B$27=""),0,IF(OR($G13="",$G13="Everyone"),1,IF($G13="Custom",N(AD13),IF(OR($G13=Setup!$B$27,AND(Setup!$C$27&lt;&gt;"",$G13=Setup!$C$27)),1,0))))</f>
        <v>0</v>
      </c>
      <c r="AO13" s="60" t="n">
        <f aca="false">IF(SUM(AE13:AN13)=0,1,SUM(AE13:AN13))</f>
        <v>1</v>
      </c>
      <c r="AP13" s="60" t="n">
        <f aca="false">IF(H13="Paid",1,0)</f>
        <v>0</v>
      </c>
      <c r="AQ13" s="60" t="n">
        <f aca="false">IF(AND(S13&gt;0,SUM(AE13:AN13)=0),S13,0)</f>
        <v>0</v>
      </c>
      <c r="AR13" s="60" t="str">
        <f aca="false">IF(AND(N13&lt;&gt;"",TodayDay&lt;&gt;"",N13=TodayDay),COUNTIF($N$6:N13,TodayDay),"")</f>
        <v/>
      </c>
      <c r="AS13" s="60" t="n">
        <f aca="false">IF(B13="",0,IF(COUNTIFS(Settings!$A$5:$A$29,B13,Settings!$B$5:$B$29,"Yes")&gt;0,1,0))</f>
        <v>0</v>
      </c>
      <c r="AT13" s="61" t="n">
        <f aca="false">IF(OR(N13="",TodayDay=""),IF(N13="",S13,0),IF(N13&lt;TodayDay,S13,0))</f>
        <v>0</v>
      </c>
    </row>
    <row r="14" customFormat="false" ht="15" hidden="false" customHeight="false" outlineLevel="0" collapsed="false">
      <c r="A14" s="23"/>
      <c r="B14" s="23"/>
      <c r="C14" s="23"/>
      <c r="D14" s="56"/>
      <c r="E14" s="23"/>
      <c r="F14" s="23"/>
      <c r="G14" s="23"/>
      <c r="H14" s="23"/>
      <c r="I14" s="56"/>
      <c r="J14" s="23"/>
      <c r="K14" s="28"/>
      <c r="L14" s="23"/>
      <c r="M14" s="23"/>
      <c r="N14" s="25" t="str">
        <f aca="false">IF(A14="","",IF(LEFT(A14,3)="Pre",0,IFERROR(VALUE(MID(A14,5,FIND(" ",A14&amp;" ",5)-5)),"")))</f>
        <v/>
      </c>
      <c r="O14" s="57" t="str">
        <f aca="false">IF(N14="","",IF(N14=0,"Before trip",IF(TripStart="","",TripStart+N14-1)))</f>
        <v/>
      </c>
      <c r="P14" s="58" t="str">
        <f aca="false">IF(AND(D14="",I14=""),"",IF(OR(E14="",E14=HomeCcy),1,IFERROR(INDEX(Setup!$J$26:$J$33,MATCH(E14,Setup!$G$26:$G$33,0)),IFERROR(INDEX(Settings!$S$5:$S$64,MATCH(E14,Settings!$R$5:$R$64,0))/HomeINR,1))))</f>
        <v/>
      </c>
      <c r="Q14" s="34" t="str">
        <f aca="false">IF(D14="","",D14*P14)</f>
        <v/>
      </c>
      <c r="R14" s="34" t="str">
        <f aca="false">IF(I14="","",I14*P14)</f>
        <v/>
      </c>
      <c r="S14" s="33" t="n">
        <f aca="false">IF(H14="Cancelled",0,IF(R14&lt;&gt;"",R14,IF(Q14&lt;&gt;"",Q14,0)))</f>
        <v>0</v>
      </c>
      <c r="T14" s="45" t="str">
        <f aca="false">IF(S14=0,"",IF(SUM(AE14:AN14)=0,"⚠ nobody picked",COUNTIF(AE14:AN14,"&gt;0")&amp;" people"))</f>
        <v/>
      </c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60" t="n">
        <f aca="false">IF(OR($S14=0,Setup!$B$18=""),0,IF(OR($G14="",$G14="Everyone"),1,IF($G14="Custom",N(U14),IF(OR($G14=Setup!$B$18,AND(Setup!$C$18&lt;&gt;"",$G14=Setup!$C$18)),1,0))))</f>
        <v>0</v>
      </c>
      <c r="AF14" s="60" t="n">
        <f aca="false">IF(OR($S14=0,Setup!$B$19=""),0,IF(OR($G14="",$G14="Everyone"),1,IF($G14="Custom",N(V14),IF(OR($G14=Setup!$B$19,AND(Setup!$C$19&lt;&gt;"",$G14=Setup!$C$19)),1,0))))</f>
        <v>0</v>
      </c>
      <c r="AG14" s="60" t="n">
        <f aca="false">IF(OR($S14=0,Setup!$B$20=""),0,IF(OR($G14="",$G14="Everyone"),1,IF($G14="Custom",N(W14),IF(OR($G14=Setup!$B$20,AND(Setup!$C$20&lt;&gt;"",$G14=Setup!$C$20)),1,0))))</f>
        <v>0</v>
      </c>
      <c r="AH14" s="60" t="n">
        <f aca="false">IF(OR($S14=0,Setup!$B$21=""),0,IF(OR($G14="",$G14="Everyone"),1,IF($G14="Custom",N(X14),IF(OR($G14=Setup!$B$21,AND(Setup!$C$21&lt;&gt;"",$G14=Setup!$C$21)),1,0))))</f>
        <v>0</v>
      </c>
      <c r="AI14" s="60" t="n">
        <f aca="false">IF(OR($S14=0,Setup!$B$22=""),0,IF(OR($G14="",$G14="Everyone"),1,IF($G14="Custom",N(Y14),IF(OR($G14=Setup!$B$22,AND(Setup!$C$22&lt;&gt;"",$G14=Setup!$C$22)),1,0))))</f>
        <v>0</v>
      </c>
      <c r="AJ14" s="60" t="n">
        <f aca="false">IF(OR($S14=0,Setup!$B$23=""),0,IF(OR($G14="",$G14="Everyone"),1,IF($G14="Custom",N(Z14),IF(OR($G14=Setup!$B$23,AND(Setup!$C$23&lt;&gt;"",$G14=Setup!$C$23)),1,0))))</f>
        <v>0</v>
      </c>
      <c r="AK14" s="60" t="n">
        <f aca="false">IF(OR($S14=0,Setup!$B$24=""),0,IF(OR($G14="",$G14="Everyone"),1,IF($G14="Custom",N(AA14),IF(OR($G14=Setup!$B$24,AND(Setup!$C$24&lt;&gt;"",$G14=Setup!$C$24)),1,0))))</f>
        <v>0</v>
      </c>
      <c r="AL14" s="60" t="n">
        <f aca="false">IF(OR($S14=0,Setup!$B$25=""),0,IF(OR($G14="",$G14="Everyone"),1,IF($G14="Custom",N(AB14),IF(OR($G14=Setup!$B$25,AND(Setup!$C$25&lt;&gt;"",$G14=Setup!$C$25)),1,0))))</f>
        <v>0</v>
      </c>
      <c r="AM14" s="60" t="n">
        <f aca="false">IF(OR($S14=0,Setup!$B$26=""),0,IF(OR($G14="",$G14="Everyone"),1,IF($G14="Custom",N(AC14),IF(OR($G14=Setup!$B$26,AND(Setup!$C$26&lt;&gt;"",$G14=Setup!$C$26)),1,0))))</f>
        <v>0</v>
      </c>
      <c r="AN14" s="60" t="n">
        <f aca="false">IF(OR($S14=0,Setup!$B$27=""),0,IF(OR($G14="",$G14="Everyone"),1,IF($G14="Custom",N(AD14),IF(OR($G14=Setup!$B$27,AND(Setup!$C$27&lt;&gt;"",$G14=Setup!$C$27)),1,0))))</f>
        <v>0</v>
      </c>
      <c r="AO14" s="60" t="n">
        <f aca="false">IF(SUM(AE14:AN14)=0,1,SUM(AE14:AN14))</f>
        <v>1</v>
      </c>
      <c r="AP14" s="60" t="n">
        <f aca="false">IF(H14="Paid",1,0)</f>
        <v>0</v>
      </c>
      <c r="AQ14" s="60" t="n">
        <f aca="false">IF(AND(S14&gt;0,SUM(AE14:AN14)=0),S14,0)</f>
        <v>0</v>
      </c>
      <c r="AR14" s="60" t="str">
        <f aca="false">IF(AND(N14&lt;&gt;"",TodayDay&lt;&gt;"",N14=TodayDay),COUNTIF($N$6:N14,TodayDay),"")</f>
        <v/>
      </c>
      <c r="AS14" s="60" t="n">
        <f aca="false">IF(B14="",0,IF(COUNTIFS(Settings!$A$5:$A$29,B14,Settings!$B$5:$B$29,"Yes")&gt;0,1,0))</f>
        <v>0</v>
      </c>
      <c r="AT14" s="61" t="n">
        <f aca="false">IF(OR(N14="",TodayDay=""),IF(N14="",S14,0),IF(N14&lt;TodayDay,S14,0))</f>
        <v>0</v>
      </c>
    </row>
    <row r="15" customFormat="false" ht="15" hidden="false" customHeight="false" outlineLevel="0" collapsed="false">
      <c r="A15" s="23"/>
      <c r="B15" s="23"/>
      <c r="C15" s="23"/>
      <c r="D15" s="56"/>
      <c r="E15" s="23"/>
      <c r="F15" s="23"/>
      <c r="G15" s="23"/>
      <c r="H15" s="23"/>
      <c r="I15" s="56"/>
      <c r="J15" s="23"/>
      <c r="K15" s="28"/>
      <c r="L15" s="23"/>
      <c r="M15" s="23"/>
      <c r="N15" s="25" t="str">
        <f aca="false">IF(A15="","",IF(LEFT(A15,3)="Pre",0,IFERROR(VALUE(MID(A15,5,FIND(" ",A15&amp;" ",5)-5)),"")))</f>
        <v/>
      </c>
      <c r="O15" s="57" t="str">
        <f aca="false">IF(N15="","",IF(N15=0,"Before trip",IF(TripStart="","",TripStart+N15-1)))</f>
        <v/>
      </c>
      <c r="P15" s="58" t="str">
        <f aca="false">IF(AND(D15="",I15=""),"",IF(OR(E15="",E15=HomeCcy),1,IFERROR(INDEX(Setup!$J$26:$J$33,MATCH(E15,Setup!$G$26:$G$33,0)),IFERROR(INDEX(Settings!$S$5:$S$64,MATCH(E15,Settings!$R$5:$R$64,0))/HomeINR,1))))</f>
        <v/>
      </c>
      <c r="Q15" s="34" t="str">
        <f aca="false">IF(D15="","",D15*P15)</f>
        <v/>
      </c>
      <c r="R15" s="34" t="str">
        <f aca="false">IF(I15="","",I15*P15)</f>
        <v/>
      </c>
      <c r="S15" s="33" t="n">
        <f aca="false">IF(H15="Cancelled",0,IF(R15&lt;&gt;"",R15,IF(Q15&lt;&gt;"",Q15,0)))</f>
        <v>0</v>
      </c>
      <c r="T15" s="45" t="str">
        <f aca="false">IF(S15=0,"",IF(SUM(AE15:AN15)=0,"⚠ nobody picked",COUNTIF(AE15:AN15,"&gt;0")&amp;" people"))</f>
        <v/>
      </c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60" t="n">
        <f aca="false">IF(OR($S15=0,Setup!$B$18=""),0,IF(OR($G15="",$G15="Everyone"),1,IF($G15="Custom",N(U15),IF(OR($G15=Setup!$B$18,AND(Setup!$C$18&lt;&gt;"",$G15=Setup!$C$18)),1,0))))</f>
        <v>0</v>
      </c>
      <c r="AF15" s="60" t="n">
        <f aca="false">IF(OR($S15=0,Setup!$B$19=""),0,IF(OR($G15="",$G15="Everyone"),1,IF($G15="Custom",N(V15),IF(OR($G15=Setup!$B$19,AND(Setup!$C$19&lt;&gt;"",$G15=Setup!$C$19)),1,0))))</f>
        <v>0</v>
      </c>
      <c r="AG15" s="60" t="n">
        <f aca="false">IF(OR($S15=0,Setup!$B$20=""),0,IF(OR($G15="",$G15="Everyone"),1,IF($G15="Custom",N(W15),IF(OR($G15=Setup!$B$20,AND(Setup!$C$20&lt;&gt;"",$G15=Setup!$C$20)),1,0))))</f>
        <v>0</v>
      </c>
      <c r="AH15" s="60" t="n">
        <f aca="false">IF(OR($S15=0,Setup!$B$21=""),0,IF(OR($G15="",$G15="Everyone"),1,IF($G15="Custom",N(X15),IF(OR($G15=Setup!$B$21,AND(Setup!$C$21&lt;&gt;"",$G15=Setup!$C$21)),1,0))))</f>
        <v>0</v>
      </c>
      <c r="AI15" s="60" t="n">
        <f aca="false">IF(OR($S15=0,Setup!$B$22=""),0,IF(OR($G15="",$G15="Everyone"),1,IF($G15="Custom",N(Y15),IF(OR($G15=Setup!$B$22,AND(Setup!$C$22&lt;&gt;"",$G15=Setup!$C$22)),1,0))))</f>
        <v>0</v>
      </c>
      <c r="AJ15" s="60" t="n">
        <f aca="false">IF(OR($S15=0,Setup!$B$23=""),0,IF(OR($G15="",$G15="Everyone"),1,IF($G15="Custom",N(Z15),IF(OR($G15=Setup!$B$23,AND(Setup!$C$23&lt;&gt;"",$G15=Setup!$C$23)),1,0))))</f>
        <v>0</v>
      </c>
      <c r="AK15" s="60" t="n">
        <f aca="false">IF(OR($S15=0,Setup!$B$24=""),0,IF(OR($G15="",$G15="Everyone"),1,IF($G15="Custom",N(AA15),IF(OR($G15=Setup!$B$24,AND(Setup!$C$24&lt;&gt;"",$G15=Setup!$C$24)),1,0))))</f>
        <v>0</v>
      </c>
      <c r="AL15" s="60" t="n">
        <f aca="false">IF(OR($S15=0,Setup!$B$25=""),0,IF(OR($G15="",$G15="Everyone"),1,IF($G15="Custom",N(AB15),IF(OR($G15=Setup!$B$25,AND(Setup!$C$25&lt;&gt;"",$G15=Setup!$C$25)),1,0))))</f>
        <v>0</v>
      </c>
      <c r="AM15" s="60" t="n">
        <f aca="false">IF(OR($S15=0,Setup!$B$26=""),0,IF(OR($G15="",$G15="Everyone"),1,IF($G15="Custom",N(AC15),IF(OR($G15=Setup!$B$26,AND(Setup!$C$26&lt;&gt;"",$G15=Setup!$C$26)),1,0))))</f>
        <v>0</v>
      </c>
      <c r="AN15" s="60" t="n">
        <f aca="false">IF(OR($S15=0,Setup!$B$27=""),0,IF(OR($G15="",$G15="Everyone"),1,IF($G15="Custom",N(AD15),IF(OR($G15=Setup!$B$27,AND(Setup!$C$27&lt;&gt;"",$G15=Setup!$C$27)),1,0))))</f>
        <v>0</v>
      </c>
      <c r="AO15" s="60" t="n">
        <f aca="false">IF(SUM(AE15:AN15)=0,1,SUM(AE15:AN15))</f>
        <v>1</v>
      </c>
      <c r="AP15" s="60" t="n">
        <f aca="false">IF(H15="Paid",1,0)</f>
        <v>0</v>
      </c>
      <c r="AQ15" s="60" t="n">
        <f aca="false">IF(AND(S15&gt;0,SUM(AE15:AN15)=0),S15,0)</f>
        <v>0</v>
      </c>
      <c r="AR15" s="60" t="str">
        <f aca="false">IF(AND(N15&lt;&gt;"",TodayDay&lt;&gt;"",N15=TodayDay),COUNTIF($N$6:N15,TodayDay),"")</f>
        <v/>
      </c>
      <c r="AS15" s="60" t="n">
        <f aca="false">IF(B15="",0,IF(COUNTIFS(Settings!$A$5:$A$29,B15,Settings!$B$5:$B$29,"Yes")&gt;0,1,0))</f>
        <v>0</v>
      </c>
      <c r="AT15" s="61" t="n">
        <f aca="false">IF(OR(N15="",TodayDay=""),IF(N15="",S15,0),IF(N15&lt;TodayDay,S15,0))</f>
        <v>0</v>
      </c>
    </row>
    <row r="16" customFormat="false" ht="15" hidden="false" customHeight="false" outlineLevel="0" collapsed="false">
      <c r="A16" s="23"/>
      <c r="B16" s="23"/>
      <c r="C16" s="23"/>
      <c r="D16" s="56"/>
      <c r="E16" s="23"/>
      <c r="F16" s="23"/>
      <c r="G16" s="23"/>
      <c r="H16" s="23"/>
      <c r="I16" s="56"/>
      <c r="J16" s="23"/>
      <c r="K16" s="28"/>
      <c r="L16" s="23"/>
      <c r="M16" s="23"/>
      <c r="N16" s="25" t="str">
        <f aca="false">IF(A16="","",IF(LEFT(A16,3)="Pre",0,IFERROR(VALUE(MID(A16,5,FIND(" ",A16&amp;" ",5)-5)),"")))</f>
        <v/>
      </c>
      <c r="O16" s="57" t="str">
        <f aca="false">IF(N16="","",IF(N16=0,"Before trip",IF(TripStart="","",TripStart+N16-1)))</f>
        <v/>
      </c>
      <c r="P16" s="58" t="str">
        <f aca="false">IF(AND(D16="",I16=""),"",IF(OR(E16="",E16=HomeCcy),1,IFERROR(INDEX(Setup!$J$26:$J$33,MATCH(E16,Setup!$G$26:$G$33,0)),IFERROR(INDEX(Settings!$S$5:$S$64,MATCH(E16,Settings!$R$5:$R$64,0))/HomeINR,1))))</f>
        <v/>
      </c>
      <c r="Q16" s="34" t="str">
        <f aca="false">IF(D16="","",D16*P16)</f>
        <v/>
      </c>
      <c r="R16" s="34" t="str">
        <f aca="false">IF(I16="","",I16*P16)</f>
        <v/>
      </c>
      <c r="S16" s="33" t="n">
        <f aca="false">IF(H16="Cancelled",0,IF(R16&lt;&gt;"",R16,IF(Q16&lt;&gt;"",Q16,0)))</f>
        <v>0</v>
      </c>
      <c r="T16" s="45" t="str">
        <f aca="false">IF(S16=0,"",IF(SUM(AE16:AN16)=0,"⚠ nobody picked",COUNTIF(AE16:AN16,"&gt;0")&amp;" people"))</f>
        <v/>
      </c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60" t="n">
        <f aca="false">IF(OR($S16=0,Setup!$B$18=""),0,IF(OR($G16="",$G16="Everyone"),1,IF($G16="Custom",N(U16),IF(OR($G16=Setup!$B$18,AND(Setup!$C$18&lt;&gt;"",$G16=Setup!$C$18)),1,0))))</f>
        <v>0</v>
      </c>
      <c r="AF16" s="60" t="n">
        <f aca="false">IF(OR($S16=0,Setup!$B$19=""),0,IF(OR($G16="",$G16="Everyone"),1,IF($G16="Custom",N(V16),IF(OR($G16=Setup!$B$19,AND(Setup!$C$19&lt;&gt;"",$G16=Setup!$C$19)),1,0))))</f>
        <v>0</v>
      </c>
      <c r="AG16" s="60" t="n">
        <f aca="false">IF(OR($S16=0,Setup!$B$20=""),0,IF(OR($G16="",$G16="Everyone"),1,IF($G16="Custom",N(W16),IF(OR($G16=Setup!$B$20,AND(Setup!$C$20&lt;&gt;"",$G16=Setup!$C$20)),1,0))))</f>
        <v>0</v>
      </c>
      <c r="AH16" s="60" t="n">
        <f aca="false">IF(OR($S16=0,Setup!$B$21=""),0,IF(OR($G16="",$G16="Everyone"),1,IF($G16="Custom",N(X16),IF(OR($G16=Setup!$B$21,AND(Setup!$C$21&lt;&gt;"",$G16=Setup!$C$21)),1,0))))</f>
        <v>0</v>
      </c>
      <c r="AI16" s="60" t="n">
        <f aca="false">IF(OR($S16=0,Setup!$B$22=""),0,IF(OR($G16="",$G16="Everyone"),1,IF($G16="Custom",N(Y16),IF(OR($G16=Setup!$B$22,AND(Setup!$C$22&lt;&gt;"",$G16=Setup!$C$22)),1,0))))</f>
        <v>0</v>
      </c>
      <c r="AJ16" s="60" t="n">
        <f aca="false">IF(OR($S16=0,Setup!$B$23=""),0,IF(OR($G16="",$G16="Everyone"),1,IF($G16="Custom",N(Z16),IF(OR($G16=Setup!$B$23,AND(Setup!$C$23&lt;&gt;"",$G16=Setup!$C$23)),1,0))))</f>
        <v>0</v>
      </c>
      <c r="AK16" s="60" t="n">
        <f aca="false">IF(OR($S16=0,Setup!$B$24=""),0,IF(OR($G16="",$G16="Everyone"),1,IF($G16="Custom",N(AA16),IF(OR($G16=Setup!$B$24,AND(Setup!$C$24&lt;&gt;"",$G16=Setup!$C$24)),1,0))))</f>
        <v>0</v>
      </c>
      <c r="AL16" s="60" t="n">
        <f aca="false">IF(OR($S16=0,Setup!$B$25=""),0,IF(OR($G16="",$G16="Everyone"),1,IF($G16="Custom",N(AB16),IF(OR($G16=Setup!$B$25,AND(Setup!$C$25&lt;&gt;"",$G16=Setup!$C$25)),1,0))))</f>
        <v>0</v>
      </c>
      <c r="AM16" s="60" t="n">
        <f aca="false">IF(OR($S16=0,Setup!$B$26=""),0,IF(OR($G16="",$G16="Everyone"),1,IF($G16="Custom",N(AC16),IF(OR($G16=Setup!$B$26,AND(Setup!$C$26&lt;&gt;"",$G16=Setup!$C$26)),1,0))))</f>
        <v>0</v>
      </c>
      <c r="AN16" s="60" t="n">
        <f aca="false">IF(OR($S16=0,Setup!$B$27=""),0,IF(OR($G16="",$G16="Everyone"),1,IF($G16="Custom",N(AD16),IF(OR($G16=Setup!$B$27,AND(Setup!$C$27&lt;&gt;"",$G16=Setup!$C$27)),1,0))))</f>
        <v>0</v>
      </c>
      <c r="AO16" s="60" t="n">
        <f aca="false">IF(SUM(AE16:AN16)=0,1,SUM(AE16:AN16))</f>
        <v>1</v>
      </c>
      <c r="AP16" s="60" t="n">
        <f aca="false">IF(H16="Paid",1,0)</f>
        <v>0</v>
      </c>
      <c r="AQ16" s="60" t="n">
        <f aca="false">IF(AND(S16&gt;0,SUM(AE16:AN16)=0),S16,0)</f>
        <v>0</v>
      </c>
      <c r="AR16" s="60" t="str">
        <f aca="false">IF(AND(N16&lt;&gt;"",TodayDay&lt;&gt;"",N16=TodayDay),COUNTIF($N$6:N16,TodayDay),"")</f>
        <v/>
      </c>
      <c r="AS16" s="60" t="n">
        <f aca="false">IF(B16="",0,IF(COUNTIFS(Settings!$A$5:$A$29,B16,Settings!$B$5:$B$29,"Yes")&gt;0,1,0))</f>
        <v>0</v>
      </c>
      <c r="AT16" s="61" t="n">
        <f aca="false">IF(OR(N16="",TodayDay=""),IF(N16="",S16,0),IF(N16&lt;TodayDay,S16,0))</f>
        <v>0</v>
      </c>
    </row>
    <row r="17" customFormat="false" ht="15" hidden="false" customHeight="false" outlineLevel="0" collapsed="false">
      <c r="A17" s="23"/>
      <c r="B17" s="23"/>
      <c r="C17" s="23"/>
      <c r="D17" s="56"/>
      <c r="E17" s="23"/>
      <c r="F17" s="23"/>
      <c r="G17" s="23"/>
      <c r="H17" s="23"/>
      <c r="I17" s="56"/>
      <c r="J17" s="23"/>
      <c r="K17" s="28"/>
      <c r="L17" s="23"/>
      <c r="M17" s="23"/>
      <c r="N17" s="25" t="str">
        <f aca="false">IF(A17="","",IF(LEFT(A17,3)="Pre",0,IFERROR(VALUE(MID(A17,5,FIND(" ",A17&amp;" ",5)-5)),"")))</f>
        <v/>
      </c>
      <c r="O17" s="57" t="str">
        <f aca="false">IF(N17="","",IF(N17=0,"Before trip",IF(TripStart="","",TripStart+N17-1)))</f>
        <v/>
      </c>
      <c r="P17" s="58" t="str">
        <f aca="false">IF(AND(D17="",I17=""),"",IF(OR(E17="",E17=HomeCcy),1,IFERROR(INDEX(Setup!$J$26:$J$33,MATCH(E17,Setup!$G$26:$G$33,0)),IFERROR(INDEX(Settings!$S$5:$S$64,MATCH(E17,Settings!$R$5:$R$64,0))/HomeINR,1))))</f>
        <v/>
      </c>
      <c r="Q17" s="34" t="str">
        <f aca="false">IF(D17="","",D17*P17)</f>
        <v/>
      </c>
      <c r="R17" s="34" t="str">
        <f aca="false">IF(I17="","",I17*P17)</f>
        <v/>
      </c>
      <c r="S17" s="33" t="n">
        <f aca="false">IF(H17="Cancelled",0,IF(R17&lt;&gt;"",R17,IF(Q17&lt;&gt;"",Q17,0)))</f>
        <v>0</v>
      </c>
      <c r="T17" s="45" t="str">
        <f aca="false">IF(S17=0,"",IF(SUM(AE17:AN17)=0,"⚠ nobody picked",COUNTIF(AE17:AN17,"&gt;0")&amp;" people"))</f>
        <v/>
      </c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60" t="n">
        <f aca="false">IF(OR($S17=0,Setup!$B$18=""),0,IF(OR($G17="",$G17="Everyone"),1,IF($G17="Custom",N(U17),IF(OR($G17=Setup!$B$18,AND(Setup!$C$18&lt;&gt;"",$G17=Setup!$C$18)),1,0))))</f>
        <v>0</v>
      </c>
      <c r="AF17" s="60" t="n">
        <f aca="false">IF(OR($S17=0,Setup!$B$19=""),0,IF(OR($G17="",$G17="Everyone"),1,IF($G17="Custom",N(V17),IF(OR($G17=Setup!$B$19,AND(Setup!$C$19&lt;&gt;"",$G17=Setup!$C$19)),1,0))))</f>
        <v>0</v>
      </c>
      <c r="AG17" s="60" t="n">
        <f aca="false">IF(OR($S17=0,Setup!$B$20=""),0,IF(OR($G17="",$G17="Everyone"),1,IF($G17="Custom",N(W17),IF(OR($G17=Setup!$B$20,AND(Setup!$C$20&lt;&gt;"",$G17=Setup!$C$20)),1,0))))</f>
        <v>0</v>
      </c>
      <c r="AH17" s="60" t="n">
        <f aca="false">IF(OR($S17=0,Setup!$B$21=""),0,IF(OR($G17="",$G17="Everyone"),1,IF($G17="Custom",N(X17),IF(OR($G17=Setup!$B$21,AND(Setup!$C$21&lt;&gt;"",$G17=Setup!$C$21)),1,0))))</f>
        <v>0</v>
      </c>
      <c r="AI17" s="60" t="n">
        <f aca="false">IF(OR($S17=0,Setup!$B$22=""),0,IF(OR($G17="",$G17="Everyone"),1,IF($G17="Custom",N(Y17),IF(OR($G17=Setup!$B$22,AND(Setup!$C$22&lt;&gt;"",$G17=Setup!$C$22)),1,0))))</f>
        <v>0</v>
      </c>
      <c r="AJ17" s="60" t="n">
        <f aca="false">IF(OR($S17=0,Setup!$B$23=""),0,IF(OR($G17="",$G17="Everyone"),1,IF($G17="Custom",N(Z17),IF(OR($G17=Setup!$B$23,AND(Setup!$C$23&lt;&gt;"",$G17=Setup!$C$23)),1,0))))</f>
        <v>0</v>
      </c>
      <c r="AK17" s="60" t="n">
        <f aca="false">IF(OR($S17=0,Setup!$B$24=""),0,IF(OR($G17="",$G17="Everyone"),1,IF($G17="Custom",N(AA17),IF(OR($G17=Setup!$B$24,AND(Setup!$C$24&lt;&gt;"",$G17=Setup!$C$24)),1,0))))</f>
        <v>0</v>
      </c>
      <c r="AL17" s="60" t="n">
        <f aca="false">IF(OR($S17=0,Setup!$B$25=""),0,IF(OR($G17="",$G17="Everyone"),1,IF($G17="Custom",N(AB17),IF(OR($G17=Setup!$B$25,AND(Setup!$C$25&lt;&gt;"",$G17=Setup!$C$25)),1,0))))</f>
        <v>0</v>
      </c>
      <c r="AM17" s="60" t="n">
        <f aca="false">IF(OR($S17=0,Setup!$B$26=""),0,IF(OR($G17="",$G17="Everyone"),1,IF($G17="Custom",N(AC17),IF(OR($G17=Setup!$B$26,AND(Setup!$C$26&lt;&gt;"",$G17=Setup!$C$26)),1,0))))</f>
        <v>0</v>
      </c>
      <c r="AN17" s="60" t="n">
        <f aca="false">IF(OR($S17=0,Setup!$B$27=""),0,IF(OR($G17="",$G17="Everyone"),1,IF($G17="Custom",N(AD17),IF(OR($G17=Setup!$B$27,AND(Setup!$C$27&lt;&gt;"",$G17=Setup!$C$27)),1,0))))</f>
        <v>0</v>
      </c>
      <c r="AO17" s="60" t="n">
        <f aca="false">IF(SUM(AE17:AN17)=0,1,SUM(AE17:AN17))</f>
        <v>1</v>
      </c>
      <c r="AP17" s="60" t="n">
        <f aca="false">IF(H17="Paid",1,0)</f>
        <v>0</v>
      </c>
      <c r="AQ17" s="60" t="n">
        <f aca="false">IF(AND(S17&gt;0,SUM(AE17:AN17)=0),S17,0)</f>
        <v>0</v>
      </c>
      <c r="AR17" s="60" t="str">
        <f aca="false">IF(AND(N17&lt;&gt;"",TodayDay&lt;&gt;"",N17=TodayDay),COUNTIF($N$6:N17,TodayDay),"")</f>
        <v/>
      </c>
      <c r="AS17" s="60" t="n">
        <f aca="false">IF(B17="",0,IF(COUNTIFS(Settings!$A$5:$A$29,B17,Settings!$B$5:$B$29,"Yes")&gt;0,1,0))</f>
        <v>0</v>
      </c>
      <c r="AT17" s="61" t="n">
        <f aca="false">IF(OR(N17="",TodayDay=""),IF(N17="",S17,0),IF(N17&lt;TodayDay,S17,0))</f>
        <v>0</v>
      </c>
    </row>
    <row r="18" customFormat="false" ht="15" hidden="false" customHeight="false" outlineLevel="0" collapsed="false">
      <c r="A18" s="23"/>
      <c r="B18" s="23"/>
      <c r="C18" s="23"/>
      <c r="D18" s="56"/>
      <c r="E18" s="23"/>
      <c r="F18" s="23"/>
      <c r="G18" s="23"/>
      <c r="H18" s="23"/>
      <c r="I18" s="56"/>
      <c r="J18" s="23"/>
      <c r="K18" s="28"/>
      <c r="L18" s="23"/>
      <c r="M18" s="23"/>
      <c r="N18" s="25" t="str">
        <f aca="false">IF(A18="","",IF(LEFT(A18,3)="Pre",0,IFERROR(VALUE(MID(A18,5,FIND(" ",A18&amp;" ",5)-5)),"")))</f>
        <v/>
      </c>
      <c r="O18" s="57" t="str">
        <f aca="false">IF(N18="","",IF(N18=0,"Before trip",IF(TripStart="","",TripStart+N18-1)))</f>
        <v/>
      </c>
      <c r="P18" s="58" t="str">
        <f aca="false">IF(AND(D18="",I18=""),"",IF(OR(E18="",E18=HomeCcy),1,IFERROR(INDEX(Setup!$J$26:$J$33,MATCH(E18,Setup!$G$26:$G$33,0)),IFERROR(INDEX(Settings!$S$5:$S$64,MATCH(E18,Settings!$R$5:$R$64,0))/HomeINR,1))))</f>
        <v/>
      </c>
      <c r="Q18" s="34" t="str">
        <f aca="false">IF(D18="","",D18*P18)</f>
        <v/>
      </c>
      <c r="R18" s="34" t="str">
        <f aca="false">IF(I18="","",I18*P18)</f>
        <v/>
      </c>
      <c r="S18" s="33" t="n">
        <f aca="false">IF(H18="Cancelled",0,IF(R18&lt;&gt;"",R18,IF(Q18&lt;&gt;"",Q18,0)))</f>
        <v>0</v>
      </c>
      <c r="T18" s="45" t="str">
        <f aca="false">IF(S18=0,"",IF(SUM(AE18:AN18)=0,"⚠ nobody picked",COUNTIF(AE18:AN18,"&gt;0")&amp;" people"))</f>
        <v/>
      </c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60" t="n">
        <f aca="false">IF(OR($S18=0,Setup!$B$18=""),0,IF(OR($G18="",$G18="Everyone"),1,IF($G18="Custom",N(U18),IF(OR($G18=Setup!$B$18,AND(Setup!$C$18&lt;&gt;"",$G18=Setup!$C$18)),1,0))))</f>
        <v>0</v>
      </c>
      <c r="AF18" s="60" t="n">
        <f aca="false">IF(OR($S18=0,Setup!$B$19=""),0,IF(OR($G18="",$G18="Everyone"),1,IF($G18="Custom",N(V18),IF(OR($G18=Setup!$B$19,AND(Setup!$C$19&lt;&gt;"",$G18=Setup!$C$19)),1,0))))</f>
        <v>0</v>
      </c>
      <c r="AG18" s="60" t="n">
        <f aca="false">IF(OR($S18=0,Setup!$B$20=""),0,IF(OR($G18="",$G18="Everyone"),1,IF($G18="Custom",N(W18),IF(OR($G18=Setup!$B$20,AND(Setup!$C$20&lt;&gt;"",$G18=Setup!$C$20)),1,0))))</f>
        <v>0</v>
      </c>
      <c r="AH18" s="60" t="n">
        <f aca="false">IF(OR($S18=0,Setup!$B$21=""),0,IF(OR($G18="",$G18="Everyone"),1,IF($G18="Custom",N(X18),IF(OR($G18=Setup!$B$21,AND(Setup!$C$21&lt;&gt;"",$G18=Setup!$C$21)),1,0))))</f>
        <v>0</v>
      </c>
      <c r="AI18" s="60" t="n">
        <f aca="false">IF(OR($S18=0,Setup!$B$22=""),0,IF(OR($G18="",$G18="Everyone"),1,IF($G18="Custom",N(Y18),IF(OR($G18=Setup!$B$22,AND(Setup!$C$22&lt;&gt;"",$G18=Setup!$C$22)),1,0))))</f>
        <v>0</v>
      </c>
      <c r="AJ18" s="60" t="n">
        <f aca="false">IF(OR($S18=0,Setup!$B$23=""),0,IF(OR($G18="",$G18="Everyone"),1,IF($G18="Custom",N(Z18),IF(OR($G18=Setup!$B$23,AND(Setup!$C$23&lt;&gt;"",$G18=Setup!$C$23)),1,0))))</f>
        <v>0</v>
      </c>
      <c r="AK18" s="60" t="n">
        <f aca="false">IF(OR($S18=0,Setup!$B$24=""),0,IF(OR($G18="",$G18="Everyone"),1,IF($G18="Custom",N(AA18),IF(OR($G18=Setup!$B$24,AND(Setup!$C$24&lt;&gt;"",$G18=Setup!$C$24)),1,0))))</f>
        <v>0</v>
      </c>
      <c r="AL18" s="60" t="n">
        <f aca="false">IF(OR($S18=0,Setup!$B$25=""),0,IF(OR($G18="",$G18="Everyone"),1,IF($G18="Custom",N(AB18),IF(OR($G18=Setup!$B$25,AND(Setup!$C$25&lt;&gt;"",$G18=Setup!$C$25)),1,0))))</f>
        <v>0</v>
      </c>
      <c r="AM18" s="60" t="n">
        <f aca="false">IF(OR($S18=0,Setup!$B$26=""),0,IF(OR($G18="",$G18="Everyone"),1,IF($G18="Custom",N(AC18),IF(OR($G18=Setup!$B$26,AND(Setup!$C$26&lt;&gt;"",$G18=Setup!$C$26)),1,0))))</f>
        <v>0</v>
      </c>
      <c r="AN18" s="60" t="n">
        <f aca="false">IF(OR($S18=0,Setup!$B$27=""),0,IF(OR($G18="",$G18="Everyone"),1,IF($G18="Custom",N(AD18),IF(OR($G18=Setup!$B$27,AND(Setup!$C$27&lt;&gt;"",$G18=Setup!$C$27)),1,0))))</f>
        <v>0</v>
      </c>
      <c r="AO18" s="60" t="n">
        <f aca="false">IF(SUM(AE18:AN18)=0,1,SUM(AE18:AN18))</f>
        <v>1</v>
      </c>
      <c r="AP18" s="60" t="n">
        <f aca="false">IF(H18="Paid",1,0)</f>
        <v>0</v>
      </c>
      <c r="AQ18" s="60" t="n">
        <f aca="false">IF(AND(S18&gt;0,SUM(AE18:AN18)=0),S18,0)</f>
        <v>0</v>
      </c>
      <c r="AR18" s="60" t="str">
        <f aca="false">IF(AND(N18&lt;&gt;"",TodayDay&lt;&gt;"",N18=TodayDay),COUNTIF($N$6:N18,TodayDay),"")</f>
        <v/>
      </c>
      <c r="AS18" s="60" t="n">
        <f aca="false">IF(B18="",0,IF(COUNTIFS(Settings!$A$5:$A$29,B18,Settings!$B$5:$B$29,"Yes")&gt;0,1,0))</f>
        <v>0</v>
      </c>
      <c r="AT18" s="61" t="n">
        <f aca="false">IF(OR(N18="",TodayDay=""),IF(N18="",S18,0),IF(N18&lt;TodayDay,S18,0))</f>
        <v>0</v>
      </c>
    </row>
    <row r="19" customFormat="false" ht="15" hidden="false" customHeight="false" outlineLevel="0" collapsed="false">
      <c r="A19" s="23"/>
      <c r="B19" s="23"/>
      <c r="C19" s="23"/>
      <c r="D19" s="56"/>
      <c r="E19" s="23"/>
      <c r="F19" s="23"/>
      <c r="G19" s="23"/>
      <c r="H19" s="23"/>
      <c r="I19" s="56"/>
      <c r="J19" s="23"/>
      <c r="K19" s="28"/>
      <c r="L19" s="23"/>
      <c r="M19" s="23"/>
      <c r="N19" s="25" t="str">
        <f aca="false">IF(A19="","",IF(LEFT(A19,3)="Pre",0,IFERROR(VALUE(MID(A19,5,FIND(" ",A19&amp;" ",5)-5)),"")))</f>
        <v/>
      </c>
      <c r="O19" s="57" t="str">
        <f aca="false">IF(N19="","",IF(N19=0,"Before trip",IF(TripStart="","",TripStart+N19-1)))</f>
        <v/>
      </c>
      <c r="P19" s="58" t="str">
        <f aca="false">IF(AND(D19="",I19=""),"",IF(OR(E19="",E19=HomeCcy),1,IFERROR(INDEX(Setup!$J$26:$J$33,MATCH(E19,Setup!$G$26:$G$33,0)),IFERROR(INDEX(Settings!$S$5:$S$64,MATCH(E19,Settings!$R$5:$R$64,0))/HomeINR,1))))</f>
        <v/>
      </c>
      <c r="Q19" s="34" t="str">
        <f aca="false">IF(D19="","",D19*P19)</f>
        <v/>
      </c>
      <c r="R19" s="34" t="str">
        <f aca="false">IF(I19="","",I19*P19)</f>
        <v/>
      </c>
      <c r="S19" s="33" t="n">
        <f aca="false">IF(H19="Cancelled",0,IF(R19&lt;&gt;"",R19,IF(Q19&lt;&gt;"",Q19,0)))</f>
        <v>0</v>
      </c>
      <c r="T19" s="45" t="str">
        <f aca="false">IF(S19=0,"",IF(SUM(AE19:AN19)=0,"⚠ nobody picked",COUNTIF(AE19:AN19,"&gt;0")&amp;" people"))</f>
        <v/>
      </c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60" t="n">
        <f aca="false">IF(OR($S19=0,Setup!$B$18=""),0,IF(OR($G19="",$G19="Everyone"),1,IF($G19="Custom",N(U19),IF(OR($G19=Setup!$B$18,AND(Setup!$C$18&lt;&gt;"",$G19=Setup!$C$18)),1,0))))</f>
        <v>0</v>
      </c>
      <c r="AF19" s="60" t="n">
        <f aca="false">IF(OR($S19=0,Setup!$B$19=""),0,IF(OR($G19="",$G19="Everyone"),1,IF($G19="Custom",N(V19),IF(OR($G19=Setup!$B$19,AND(Setup!$C$19&lt;&gt;"",$G19=Setup!$C$19)),1,0))))</f>
        <v>0</v>
      </c>
      <c r="AG19" s="60" t="n">
        <f aca="false">IF(OR($S19=0,Setup!$B$20=""),0,IF(OR($G19="",$G19="Everyone"),1,IF($G19="Custom",N(W19),IF(OR($G19=Setup!$B$20,AND(Setup!$C$20&lt;&gt;"",$G19=Setup!$C$20)),1,0))))</f>
        <v>0</v>
      </c>
      <c r="AH19" s="60" t="n">
        <f aca="false">IF(OR($S19=0,Setup!$B$21=""),0,IF(OR($G19="",$G19="Everyone"),1,IF($G19="Custom",N(X19),IF(OR($G19=Setup!$B$21,AND(Setup!$C$21&lt;&gt;"",$G19=Setup!$C$21)),1,0))))</f>
        <v>0</v>
      </c>
      <c r="AI19" s="60" t="n">
        <f aca="false">IF(OR($S19=0,Setup!$B$22=""),0,IF(OR($G19="",$G19="Everyone"),1,IF($G19="Custom",N(Y19),IF(OR($G19=Setup!$B$22,AND(Setup!$C$22&lt;&gt;"",$G19=Setup!$C$22)),1,0))))</f>
        <v>0</v>
      </c>
      <c r="AJ19" s="60" t="n">
        <f aca="false">IF(OR($S19=0,Setup!$B$23=""),0,IF(OR($G19="",$G19="Everyone"),1,IF($G19="Custom",N(Z19),IF(OR($G19=Setup!$B$23,AND(Setup!$C$23&lt;&gt;"",$G19=Setup!$C$23)),1,0))))</f>
        <v>0</v>
      </c>
      <c r="AK19" s="60" t="n">
        <f aca="false">IF(OR($S19=0,Setup!$B$24=""),0,IF(OR($G19="",$G19="Everyone"),1,IF($G19="Custom",N(AA19),IF(OR($G19=Setup!$B$24,AND(Setup!$C$24&lt;&gt;"",$G19=Setup!$C$24)),1,0))))</f>
        <v>0</v>
      </c>
      <c r="AL19" s="60" t="n">
        <f aca="false">IF(OR($S19=0,Setup!$B$25=""),0,IF(OR($G19="",$G19="Everyone"),1,IF($G19="Custom",N(AB19),IF(OR($G19=Setup!$B$25,AND(Setup!$C$25&lt;&gt;"",$G19=Setup!$C$25)),1,0))))</f>
        <v>0</v>
      </c>
      <c r="AM19" s="60" t="n">
        <f aca="false">IF(OR($S19=0,Setup!$B$26=""),0,IF(OR($G19="",$G19="Everyone"),1,IF($G19="Custom",N(AC19),IF(OR($G19=Setup!$B$26,AND(Setup!$C$26&lt;&gt;"",$G19=Setup!$C$26)),1,0))))</f>
        <v>0</v>
      </c>
      <c r="AN19" s="60" t="n">
        <f aca="false">IF(OR($S19=0,Setup!$B$27=""),0,IF(OR($G19="",$G19="Everyone"),1,IF($G19="Custom",N(AD19),IF(OR($G19=Setup!$B$27,AND(Setup!$C$27&lt;&gt;"",$G19=Setup!$C$27)),1,0))))</f>
        <v>0</v>
      </c>
      <c r="AO19" s="60" t="n">
        <f aca="false">IF(SUM(AE19:AN19)=0,1,SUM(AE19:AN19))</f>
        <v>1</v>
      </c>
      <c r="AP19" s="60" t="n">
        <f aca="false">IF(H19="Paid",1,0)</f>
        <v>0</v>
      </c>
      <c r="AQ19" s="60" t="n">
        <f aca="false">IF(AND(S19&gt;0,SUM(AE19:AN19)=0),S19,0)</f>
        <v>0</v>
      </c>
      <c r="AR19" s="60" t="str">
        <f aca="false">IF(AND(N19&lt;&gt;"",TodayDay&lt;&gt;"",N19=TodayDay),COUNTIF($N$6:N19,TodayDay),"")</f>
        <v/>
      </c>
      <c r="AS19" s="60" t="n">
        <f aca="false">IF(B19="",0,IF(COUNTIFS(Settings!$A$5:$A$29,B19,Settings!$B$5:$B$29,"Yes")&gt;0,1,0))</f>
        <v>0</v>
      </c>
      <c r="AT19" s="61" t="n">
        <f aca="false">IF(OR(N19="",TodayDay=""),IF(N19="",S19,0),IF(N19&lt;TodayDay,S19,0))</f>
        <v>0</v>
      </c>
    </row>
    <row r="20" customFormat="false" ht="15" hidden="false" customHeight="false" outlineLevel="0" collapsed="false">
      <c r="A20" s="23"/>
      <c r="B20" s="23"/>
      <c r="C20" s="23"/>
      <c r="D20" s="56"/>
      <c r="E20" s="23"/>
      <c r="F20" s="23"/>
      <c r="G20" s="23"/>
      <c r="H20" s="23"/>
      <c r="I20" s="56"/>
      <c r="J20" s="23"/>
      <c r="K20" s="28"/>
      <c r="L20" s="23"/>
      <c r="M20" s="23"/>
      <c r="N20" s="25" t="str">
        <f aca="false">IF(A20="","",IF(LEFT(A20,3)="Pre",0,IFERROR(VALUE(MID(A20,5,FIND(" ",A20&amp;" ",5)-5)),"")))</f>
        <v/>
      </c>
      <c r="O20" s="57" t="str">
        <f aca="false">IF(N20="","",IF(N20=0,"Before trip",IF(TripStart="","",TripStart+N20-1)))</f>
        <v/>
      </c>
      <c r="P20" s="58" t="str">
        <f aca="false">IF(AND(D20="",I20=""),"",IF(OR(E20="",E20=HomeCcy),1,IFERROR(INDEX(Setup!$J$26:$J$33,MATCH(E20,Setup!$G$26:$G$33,0)),IFERROR(INDEX(Settings!$S$5:$S$64,MATCH(E20,Settings!$R$5:$R$64,0))/HomeINR,1))))</f>
        <v/>
      </c>
      <c r="Q20" s="34" t="str">
        <f aca="false">IF(D20="","",D20*P20)</f>
        <v/>
      </c>
      <c r="R20" s="34" t="str">
        <f aca="false">IF(I20="","",I20*P20)</f>
        <v/>
      </c>
      <c r="S20" s="33" t="n">
        <f aca="false">IF(H20="Cancelled",0,IF(R20&lt;&gt;"",R20,IF(Q20&lt;&gt;"",Q20,0)))</f>
        <v>0</v>
      </c>
      <c r="T20" s="45" t="str">
        <f aca="false">IF(S20=0,"",IF(SUM(AE20:AN20)=0,"⚠ nobody picked",COUNTIF(AE20:AN20,"&gt;0")&amp;" people"))</f>
        <v/>
      </c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60" t="n">
        <f aca="false">IF(OR($S20=0,Setup!$B$18=""),0,IF(OR($G20="",$G20="Everyone"),1,IF($G20="Custom",N(U20),IF(OR($G20=Setup!$B$18,AND(Setup!$C$18&lt;&gt;"",$G20=Setup!$C$18)),1,0))))</f>
        <v>0</v>
      </c>
      <c r="AF20" s="60" t="n">
        <f aca="false">IF(OR($S20=0,Setup!$B$19=""),0,IF(OR($G20="",$G20="Everyone"),1,IF($G20="Custom",N(V20),IF(OR($G20=Setup!$B$19,AND(Setup!$C$19&lt;&gt;"",$G20=Setup!$C$19)),1,0))))</f>
        <v>0</v>
      </c>
      <c r="AG20" s="60" t="n">
        <f aca="false">IF(OR($S20=0,Setup!$B$20=""),0,IF(OR($G20="",$G20="Everyone"),1,IF($G20="Custom",N(W20),IF(OR($G20=Setup!$B$20,AND(Setup!$C$20&lt;&gt;"",$G20=Setup!$C$20)),1,0))))</f>
        <v>0</v>
      </c>
      <c r="AH20" s="60" t="n">
        <f aca="false">IF(OR($S20=0,Setup!$B$21=""),0,IF(OR($G20="",$G20="Everyone"),1,IF($G20="Custom",N(X20),IF(OR($G20=Setup!$B$21,AND(Setup!$C$21&lt;&gt;"",$G20=Setup!$C$21)),1,0))))</f>
        <v>0</v>
      </c>
      <c r="AI20" s="60" t="n">
        <f aca="false">IF(OR($S20=0,Setup!$B$22=""),0,IF(OR($G20="",$G20="Everyone"),1,IF($G20="Custom",N(Y20),IF(OR($G20=Setup!$B$22,AND(Setup!$C$22&lt;&gt;"",$G20=Setup!$C$22)),1,0))))</f>
        <v>0</v>
      </c>
      <c r="AJ20" s="60" t="n">
        <f aca="false">IF(OR($S20=0,Setup!$B$23=""),0,IF(OR($G20="",$G20="Everyone"),1,IF($G20="Custom",N(Z20),IF(OR($G20=Setup!$B$23,AND(Setup!$C$23&lt;&gt;"",$G20=Setup!$C$23)),1,0))))</f>
        <v>0</v>
      </c>
      <c r="AK20" s="60" t="n">
        <f aca="false">IF(OR($S20=0,Setup!$B$24=""),0,IF(OR($G20="",$G20="Everyone"),1,IF($G20="Custom",N(AA20),IF(OR($G20=Setup!$B$24,AND(Setup!$C$24&lt;&gt;"",$G20=Setup!$C$24)),1,0))))</f>
        <v>0</v>
      </c>
      <c r="AL20" s="60" t="n">
        <f aca="false">IF(OR($S20=0,Setup!$B$25=""),0,IF(OR($G20="",$G20="Everyone"),1,IF($G20="Custom",N(AB20),IF(OR($G20=Setup!$B$25,AND(Setup!$C$25&lt;&gt;"",$G20=Setup!$C$25)),1,0))))</f>
        <v>0</v>
      </c>
      <c r="AM20" s="60" t="n">
        <f aca="false">IF(OR($S20=0,Setup!$B$26=""),0,IF(OR($G20="",$G20="Everyone"),1,IF($G20="Custom",N(AC20),IF(OR($G20=Setup!$B$26,AND(Setup!$C$26&lt;&gt;"",$G20=Setup!$C$26)),1,0))))</f>
        <v>0</v>
      </c>
      <c r="AN20" s="60" t="n">
        <f aca="false">IF(OR($S20=0,Setup!$B$27=""),0,IF(OR($G20="",$G20="Everyone"),1,IF($G20="Custom",N(AD20),IF(OR($G20=Setup!$B$27,AND(Setup!$C$27&lt;&gt;"",$G20=Setup!$C$27)),1,0))))</f>
        <v>0</v>
      </c>
      <c r="AO20" s="60" t="n">
        <f aca="false">IF(SUM(AE20:AN20)=0,1,SUM(AE20:AN20))</f>
        <v>1</v>
      </c>
      <c r="AP20" s="60" t="n">
        <f aca="false">IF(H20="Paid",1,0)</f>
        <v>0</v>
      </c>
      <c r="AQ20" s="60" t="n">
        <f aca="false">IF(AND(S20&gt;0,SUM(AE20:AN20)=0),S20,0)</f>
        <v>0</v>
      </c>
      <c r="AR20" s="60" t="str">
        <f aca="false">IF(AND(N20&lt;&gt;"",TodayDay&lt;&gt;"",N20=TodayDay),COUNTIF($N$6:N20,TodayDay),"")</f>
        <v/>
      </c>
      <c r="AS20" s="60" t="n">
        <f aca="false">IF(B20="",0,IF(COUNTIFS(Settings!$A$5:$A$29,B20,Settings!$B$5:$B$29,"Yes")&gt;0,1,0))</f>
        <v>0</v>
      </c>
      <c r="AT20" s="61" t="n">
        <f aca="false">IF(OR(N20="",TodayDay=""),IF(N20="",S20,0),IF(N20&lt;TodayDay,S20,0))</f>
        <v>0</v>
      </c>
    </row>
    <row r="21" customFormat="false" ht="15" hidden="false" customHeight="false" outlineLevel="0" collapsed="false">
      <c r="A21" s="23"/>
      <c r="B21" s="23"/>
      <c r="C21" s="23"/>
      <c r="D21" s="56"/>
      <c r="E21" s="23"/>
      <c r="F21" s="23"/>
      <c r="G21" s="23"/>
      <c r="H21" s="23"/>
      <c r="I21" s="56"/>
      <c r="J21" s="23"/>
      <c r="K21" s="28"/>
      <c r="L21" s="23"/>
      <c r="M21" s="23"/>
      <c r="N21" s="25" t="str">
        <f aca="false">IF(A21="","",IF(LEFT(A21,3)="Pre",0,IFERROR(VALUE(MID(A21,5,FIND(" ",A21&amp;" ",5)-5)),"")))</f>
        <v/>
      </c>
      <c r="O21" s="57" t="str">
        <f aca="false">IF(N21="","",IF(N21=0,"Before trip",IF(TripStart="","",TripStart+N21-1)))</f>
        <v/>
      </c>
      <c r="P21" s="58" t="str">
        <f aca="false">IF(AND(D21="",I21=""),"",IF(OR(E21="",E21=HomeCcy),1,IFERROR(INDEX(Setup!$J$26:$J$33,MATCH(E21,Setup!$G$26:$G$33,0)),IFERROR(INDEX(Settings!$S$5:$S$64,MATCH(E21,Settings!$R$5:$R$64,0))/HomeINR,1))))</f>
        <v/>
      </c>
      <c r="Q21" s="34" t="str">
        <f aca="false">IF(D21="","",D21*P21)</f>
        <v/>
      </c>
      <c r="R21" s="34" t="str">
        <f aca="false">IF(I21="","",I21*P21)</f>
        <v/>
      </c>
      <c r="S21" s="33" t="n">
        <f aca="false">IF(H21="Cancelled",0,IF(R21&lt;&gt;"",R21,IF(Q21&lt;&gt;"",Q21,0)))</f>
        <v>0</v>
      </c>
      <c r="T21" s="45" t="str">
        <f aca="false">IF(S21=0,"",IF(SUM(AE21:AN21)=0,"⚠ nobody picked",COUNTIF(AE21:AN21,"&gt;0")&amp;" people"))</f>
        <v/>
      </c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60" t="n">
        <f aca="false">IF(OR($S21=0,Setup!$B$18=""),0,IF(OR($G21="",$G21="Everyone"),1,IF($G21="Custom",N(U21),IF(OR($G21=Setup!$B$18,AND(Setup!$C$18&lt;&gt;"",$G21=Setup!$C$18)),1,0))))</f>
        <v>0</v>
      </c>
      <c r="AF21" s="60" t="n">
        <f aca="false">IF(OR($S21=0,Setup!$B$19=""),0,IF(OR($G21="",$G21="Everyone"),1,IF($G21="Custom",N(V21),IF(OR($G21=Setup!$B$19,AND(Setup!$C$19&lt;&gt;"",$G21=Setup!$C$19)),1,0))))</f>
        <v>0</v>
      </c>
      <c r="AG21" s="60" t="n">
        <f aca="false">IF(OR($S21=0,Setup!$B$20=""),0,IF(OR($G21="",$G21="Everyone"),1,IF($G21="Custom",N(W21),IF(OR($G21=Setup!$B$20,AND(Setup!$C$20&lt;&gt;"",$G21=Setup!$C$20)),1,0))))</f>
        <v>0</v>
      </c>
      <c r="AH21" s="60" t="n">
        <f aca="false">IF(OR($S21=0,Setup!$B$21=""),0,IF(OR($G21="",$G21="Everyone"),1,IF($G21="Custom",N(X21),IF(OR($G21=Setup!$B$21,AND(Setup!$C$21&lt;&gt;"",$G21=Setup!$C$21)),1,0))))</f>
        <v>0</v>
      </c>
      <c r="AI21" s="60" t="n">
        <f aca="false">IF(OR($S21=0,Setup!$B$22=""),0,IF(OR($G21="",$G21="Everyone"),1,IF($G21="Custom",N(Y21),IF(OR($G21=Setup!$B$22,AND(Setup!$C$22&lt;&gt;"",$G21=Setup!$C$22)),1,0))))</f>
        <v>0</v>
      </c>
      <c r="AJ21" s="60" t="n">
        <f aca="false">IF(OR($S21=0,Setup!$B$23=""),0,IF(OR($G21="",$G21="Everyone"),1,IF($G21="Custom",N(Z21),IF(OR($G21=Setup!$B$23,AND(Setup!$C$23&lt;&gt;"",$G21=Setup!$C$23)),1,0))))</f>
        <v>0</v>
      </c>
      <c r="AK21" s="60" t="n">
        <f aca="false">IF(OR($S21=0,Setup!$B$24=""),0,IF(OR($G21="",$G21="Everyone"),1,IF($G21="Custom",N(AA21),IF(OR($G21=Setup!$B$24,AND(Setup!$C$24&lt;&gt;"",$G21=Setup!$C$24)),1,0))))</f>
        <v>0</v>
      </c>
      <c r="AL21" s="60" t="n">
        <f aca="false">IF(OR($S21=0,Setup!$B$25=""),0,IF(OR($G21="",$G21="Everyone"),1,IF($G21="Custom",N(AB21),IF(OR($G21=Setup!$B$25,AND(Setup!$C$25&lt;&gt;"",$G21=Setup!$C$25)),1,0))))</f>
        <v>0</v>
      </c>
      <c r="AM21" s="60" t="n">
        <f aca="false">IF(OR($S21=0,Setup!$B$26=""),0,IF(OR($G21="",$G21="Everyone"),1,IF($G21="Custom",N(AC21),IF(OR($G21=Setup!$B$26,AND(Setup!$C$26&lt;&gt;"",$G21=Setup!$C$26)),1,0))))</f>
        <v>0</v>
      </c>
      <c r="AN21" s="60" t="n">
        <f aca="false">IF(OR($S21=0,Setup!$B$27=""),0,IF(OR($G21="",$G21="Everyone"),1,IF($G21="Custom",N(AD21),IF(OR($G21=Setup!$B$27,AND(Setup!$C$27&lt;&gt;"",$G21=Setup!$C$27)),1,0))))</f>
        <v>0</v>
      </c>
      <c r="AO21" s="60" t="n">
        <f aca="false">IF(SUM(AE21:AN21)=0,1,SUM(AE21:AN21))</f>
        <v>1</v>
      </c>
      <c r="AP21" s="60" t="n">
        <f aca="false">IF(H21="Paid",1,0)</f>
        <v>0</v>
      </c>
      <c r="AQ21" s="60" t="n">
        <f aca="false">IF(AND(S21&gt;0,SUM(AE21:AN21)=0),S21,0)</f>
        <v>0</v>
      </c>
      <c r="AR21" s="60" t="str">
        <f aca="false">IF(AND(N21&lt;&gt;"",TodayDay&lt;&gt;"",N21=TodayDay),COUNTIF($N$6:N21,TodayDay),"")</f>
        <v/>
      </c>
      <c r="AS21" s="60" t="n">
        <f aca="false">IF(B21="",0,IF(COUNTIFS(Settings!$A$5:$A$29,B21,Settings!$B$5:$B$29,"Yes")&gt;0,1,0))</f>
        <v>0</v>
      </c>
      <c r="AT21" s="61" t="n">
        <f aca="false">IF(OR(N21="",TodayDay=""),IF(N21="",S21,0),IF(N21&lt;TodayDay,S21,0))</f>
        <v>0</v>
      </c>
    </row>
    <row r="22" customFormat="false" ht="15" hidden="false" customHeight="false" outlineLevel="0" collapsed="false">
      <c r="A22" s="23"/>
      <c r="B22" s="23"/>
      <c r="C22" s="23"/>
      <c r="D22" s="56"/>
      <c r="E22" s="23"/>
      <c r="F22" s="23"/>
      <c r="G22" s="23"/>
      <c r="H22" s="23"/>
      <c r="I22" s="56"/>
      <c r="J22" s="23"/>
      <c r="K22" s="28"/>
      <c r="L22" s="23"/>
      <c r="M22" s="23"/>
      <c r="N22" s="25" t="str">
        <f aca="false">IF(A22="","",IF(LEFT(A22,3)="Pre",0,IFERROR(VALUE(MID(A22,5,FIND(" ",A22&amp;" ",5)-5)),"")))</f>
        <v/>
      </c>
      <c r="O22" s="57" t="str">
        <f aca="false">IF(N22="","",IF(N22=0,"Before trip",IF(TripStart="","",TripStart+N22-1)))</f>
        <v/>
      </c>
      <c r="P22" s="58" t="str">
        <f aca="false">IF(AND(D22="",I22=""),"",IF(OR(E22="",E22=HomeCcy),1,IFERROR(INDEX(Setup!$J$26:$J$33,MATCH(E22,Setup!$G$26:$G$33,0)),IFERROR(INDEX(Settings!$S$5:$S$64,MATCH(E22,Settings!$R$5:$R$64,0))/HomeINR,1))))</f>
        <v/>
      </c>
      <c r="Q22" s="34" t="str">
        <f aca="false">IF(D22="","",D22*P22)</f>
        <v/>
      </c>
      <c r="R22" s="34" t="str">
        <f aca="false">IF(I22="","",I22*P22)</f>
        <v/>
      </c>
      <c r="S22" s="33" t="n">
        <f aca="false">IF(H22="Cancelled",0,IF(R22&lt;&gt;"",R22,IF(Q22&lt;&gt;"",Q22,0)))</f>
        <v>0</v>
      </c>
      <c r="T22" s="45" t="str">
        <f aca="false">IF(S22=0,"",IF(SUM(AE22:AN22)=0,"⚠ nobody picked",COUNTIF(AE22:AN22,"&gt;0")&amp;" people"))</f>
        <v/>
      </c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60" t="n">
        <f aca="false">IF(OR($S22=0,Setup!$B$18=""),0,IF(OR($G22="",$G22="Everyone"),1,IF($G22="Custom",N(U22),IF(OR($G22=Setup!$B$18,AND(Setup!$C$18&lt;&gt;"",$G22=Setup!$C$18)),1,0))))</f>
        <v>0</v>
      </c>
      <c r="AF22" s="60" t="n">
        <f aca="false">IF(OR($S22=0,Setup!$B$19=""),0,IF(OR($G22="",$G22="Everyone"),1,IF($G22="Custom",N(V22),IF(OR($G22=Setup!$B$19,AND(Setup!$C$19&lt;&gt;"",$G22=Setup!$C$19)),1,0))))</f>
        <v>0</v>
      </c>
      <c r="AG22" s="60" t="n">
        <f aca="false">IF(OR($S22=0,Setup!$B$20=""),0,IF(OR($G22="",$G22="Everyone"),1,IF($G22="Custom",N(W22),IF(OR($G22=Setup!$B$20,AND(Setup!$C$20&lt;&gt;"",$G22=Setup!$C$20)),1,0))))</f>
        <v>0</v>
      </c>
      <c r="AH22" s="60" t="n">
        <f aca="false">IF(OR($S22=0,Setup!$B$21=""),0,IF(OR($G22="",$G22="Everyone"),1,IF($G22="Custom",N(X22),IF(OR($G22=Setup!$B$21,AND(Setup!$C$21&lt;&gt;"",$G22=Setup!$C$21)),1,0))))</f>
        <v>0</v>
      </c>
      <c r="AI22" s="60" t="n">
        <f aca="false">IF(OR($S22=0,Setup!$B$22=""),0,IF(OR($G22="",$G22="Everyone"),1,IF($G22="Custom",N(Y22),IF(OR($G22=Setup!$B$22,AND(Setup!$C$22&lt;&gt;"",$G22=Setup!$C$22)),1,0))))</f>
        <v>0</v>
      </c>
      <c r="AJ22" s="60" t="n">
        <f aca="false">IF(OR($S22=0,Setup!$B$23=""),0,IF(OR($G22="",$G22="Everyone"),1,IF($G22="Custom",N(Z22),IF(OR($G22=Setup!$B$23,AND(Setup!$C$23&lt;&gt;"",$G22=Setup!$C$23)),1,0))))</f>
        <v>0</v>
      </c>
      <c r="AK22" s="60" t="n">
        <f aca="false">IF(OR($S22=0,Setup!$B$24=""),0,IF(OR($G22="",$G22="Everyone"),1,IF($G22="Custom",N(AA22),IF(OR($G22=Setup!$B$24,AND(Setup!$C$24&lt;&gt;"",$G22=Setup!$C$24)),1,0))))</f>
        <v>0</v>
      </c>
      <c r="AL22" s="60" t="n">
        <f aca="false">IF(OR($S22=0,Setup!$B$25=""),0,IF(OR($G22="",$G22="Everyone"),1,IF($G22="Custom",N(AB22),IF(OR($G22=Setup!$B$25,AND(Setup!$C$25&lt;&gt;"",$G22=Setup!$C$25)),1,0))))</f>
        <v>0</v>
      </c>
      <c r="AM22" s="60" t="n">
        <f aca="false">IF(OR($S22=0,Setup!$B$26=""),0,IF(OR($G22="",$G22="Everyone"),1,IF($G22="Custom",N(AC22),IF(OR($G22=Setup!$B$26,AND(Setup!$C$26&lt;&gt;"",$G22=Setup!$C$26)),1,0))))</f>
        <v>0</v>
      </c>
      <c r="AN22" s="60" t="n">
        <f aca="false">IF(OR($S22=0,Setup!$B$27=""),0,IF(OR($G22="",$G22="Everyone"),1,IF($G22="Custom",N(AD22),IF(OR($G22=Setup!$B$27,AND(Setup!$C$27&lt;&gt;"",$G22=Setup!$C$27)),1,0))))</f>
        <v>0</v>
      </c>
      <c r="AO22" s="60" t="n">
        <f aca="false">IF(SUM(AE22:AN22)=0,1,SUM(AE22:AN22))</f>
        <v>1</v>
      </c>
      <c r="AP22" s="60" t="n">
        <f aca="false">IF(H22="Paid",1,0)</f>
        <v>0</v>
      </c>
      <c r="AQ22" s="60" t="n">
        <f aca="false">IF(AND(S22&gt;0,SUM(AE22:AN22)=0),S22,0)</f>
        <v>0</v>
      </c>
      <c r="AR22" s="60" t="str">
        <f aca="false">IF(AND(N22&lt;&gt;"",TodayDay&lt;&gt;"",N22=TodayDay),COUNTIF($N$6:N22,TodayDay),"")</f>
        <v/>
      </c>
      <c r="AS22" s="60" t="n">
        <f aca="false">IF(B22="",0,IF(COUNTIFS(Settings!$A$5:$A$29,B22,Settings!$B$5:$B$29,"Yes")&gt;0,1,0))</f>
        <v>0</v>
      </c>
      <c r="AT22" s="61" t="n">
        <f aca="false">IF(OR(N22="",TodayDay=""),IF(N22="",S22,0),IF(N22&lt;TodayDay,S22,0))</f>
        <v>0</v>
      </c>
    </row>
    <row r="23" customFormat="false" ht="15" hidden="false" customHeight="false" outlineLevel="0" collapsed="false">
      <c r="A23" s="23"/>
      <c r="B23" s="23"/>
      <c r="C23" s="23"/>
      <c r="D23" s="56"/>
      <c r="E23" s="23"/>
      <c r="F23" s="23"/>
      <c r="G23" s="23"/>
      <c r="H23" s="23"/>
      <c r="I23" s="56"/>
      <c r="J23" s="23"/>
      <c r="K23" s="28"/>
      <c r="L23" s="23"/>
      <c r="M23" s="23"/>
      <c r="N23" s="25" t="str">
        <f aca="false">IF(A23="","",IF(LEFT(A23,3)="Pre",0,IFERROR(VALUE(MID(A23,5,FIND(" ",A23&amp;" ",5)-5)),"")))</f>
        <v/>
      </c>
      <c r="O23" s="57" t="str">
        <f aca="false">IF(N23="","",IF(N23=0,"Before trip",IF(TripStart="","",TripStart+N23-1)))</f>
        <v/>
      </c>
      <c r="P23" s="58" t="str">
        <f aca="false">IF(AND(D23="",I23=""),"",IF(OR(E23="",E23=HomeCcy),1,IFERROR(INDEX(Setup!$J$26:$J$33,MATCH(E23,Setup!$G$26:$G$33,0)),IFERROR(INDEX(Settings!$S$5:$S$64,MATCH(E23,Settings!$R$5:$R$64,0))/HomeINR,1))))</f>
        <v/>
      </c>
      <c r="Q23" s="34" t="str">
        <f aca="false">IF(D23="","",D23*P23)</f>
        <v/>
      </c>
      <c r="R23" s="34" t="str">
        <f aca="false">IF(I23="","",I23*P23)</f>
        <v/>
      </c>
      <c r="S23" s="33" t="n">
        <f aca="false">IF(H23="Cancelled",0,IF(R23&lt;&gt;"",R23,IF(Q23&lt;&gt;"",Q23,0)))</f>
        <v>0</v>
      </c>
      <c r="T23" s="45" t="str">
        <f aca="false">IF(S23=0,"",IF(SUM(AE23:AN23)=0,"⚠ nobody picked",COUNTIF(AE23:AN23,"&gt;0")&amp;" people"))</f>
        <v/>
      </c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60" t="n">
        <f aca="false">IF(OR($S23=0,Setup!$B$18=""),0,IF(OR($G23="",$G23="Everyone"),1,IF($G23="Custom",N(U23),IF(OR($G23=Setup!$B$18,AND(Setup!$C$18&lt;&gt;"",$G23=Setup!$C$18)),1,0))))</f>
        <v>0</v>
      </c>
      <c r="AF23" s="60" t="n">
        <f aca="false">IF(OR($S23=0,Setup!$B$19=""),0,IF(OR($G23="",$G23="Everyone"),1,IF($G23="Custom",N(V23),IF(OR($G23=Setup!$B$19,AND(Setup!$C$19&lt;&gt;"",$G23=Setup!$C$19)),1,0))))</f>
        <v>0</v>
      </c>
      <c r="AG23" s="60" t="n">
        <f aca="false">IF(OR($S23=0,Setup!$B$20=""),0,IF(OR($G23="",$G23="Everyone"),1,IF($G23="Custom",N(W23),IF(OR($G23=Setup!$B$20,AND(Setup!$C$20&lt;&gt;"",$G23=Setup!$C$20)),1,0))))</f>
        <v>0</v>
      </c>
      <c r="AH23" s="60" t="n">
        <f aca="false">IF(OR($S23=0,Setup!$B$21=""),0,IF(OR($G23="",$G23="Everyone"),1,IF($G23="Custom",N(X23),IF(OR($G23=Setup!$B$21,AND(Setup!$C$21&lt;&gt;"",$G23=Setup!$C$21)),1,0))))</f>
        <v>0</v>
      </c>
      <c r="AI23" s="60" t="n">
        <f aca="false">IF(OR($S23=0,Setup!$B$22=""),0,IF(OR($G23="",$G23="Everyone"),1,IF($G23="Custom",N(Y23),IF(OR($G23=Setup!$B$22,AND(Setup!$C$22&lt;&gt;"",$G23=Setup!$C$22)),1,0))))</f>
        <v>0</v>
      </c>
      <c r="AJ23" s="60" t="n">
        <f aca="false">IF(OR($S23=0,Setup!$B$23=""),0,IF(OR($G23="",$G23="Everyone"),1,IF($G23="Custom",N(Z23),IF(OR($G23=Setup!$B$23,AND(Setup!$C$23&lt;&gt;"",$G23=Setup!$C$23)),1,0))))</f>
        <v>0</v>
      </c>
      <c r="AK23" s="60" t="n">
        <f aca="false">IF(OR($S23=0,Setup!$B$24=""),0,IF(OR($G23="",$G23="Everyone"),1,IF($G23="Custom",N(AA23),IF(OR($G23=Setup!$B$24,AND(Setup!$C$24&lt;&gt;"",$G23=Setup!$C$24)),1,0))))</f>
        <v>0</v>
      </c>
      <c r="AL23" s="60" t="n">
        <f aca="false">IF(OR($S23=0,Setup!$B$25=""),0,IF(OR($G23="",$G23="Everyone"),1,IF($G23="Custom",N(AB23),IF(OR($G23=Setup!$B$25,AND(Setup!$C$25&lt;&gt;"",$G23=Setup!$C$25)),1,0))))</f>
        <v>0</v>
      </c>
      <c r="AM23" s="60" t="n">
        <f aca="false">IF(OR($S23=0,Setup!$B$26=""),0,IF(OR($G23="",$G23="Everyone"),1,IF($G23="Custom",N(AC23),IF(OR($G23=Setup!$B$26,AND(Setup!$C$26&lt;&gt;"",$G23=Setup!$C$26)),1,0))))</f>
        <v>0</v>
      </c>
      <c r="AN23" s="60" t="n">
        <f aca="false">IF(OR($S23=0,Setup!$B$27=""),0,IF(OR($G23="",$G23="Everyone"),1,IF($G23="Custom",N(AD23),IF(OR($G23=Setup!$B$27,AND(Setup!$C$27&lt;&gt;"",$G23=Setup!$C$27)),1,0))))</f>
        <v>0</v>
      </c>
      <c r="AO23" s="60" t="n">
        <f aca="false">IF(SUM(AE23:AN23)=0,1,SUM(AE23:AN23))</f>
        <v>1</v>
      </c>
      <c r="AP23" s="60" t="n">
        <f aca="false">IF(H23="Paid",1,0)</f>
        <v>0</v>
      </c>
      <c r="AQ23" s="60" t="n">
        <f aca="false">IF(AND(S23&gt;0,SUM(AE23:AN23)=0),S23,0)</f>
        <v>0</v>
      </c>
      <c r="AR23" s="60" t="str">
        <f aca="false">IF(AND(N23&lt;&gt;"",TodayDay&lt;&gt;"",N23=TodayDay),COUNTIF($N$6:N23,TodayDay),"")</f>
        <v/>
      </c>
      <c r="AS23" s="60" t="n">
        <f aca="false">IF(B23="",0,IF(COUNTIFS(Settings!$A$5:$A$29,B23,Settings!$B$5:$B$29,"Yes")&gt;0,1,0))</f>
        <v>0</v>
      </c>
      <c r="AT23" s="61" t="n">
        <f aca="false">IF(OR(N23="",TodayDay=""),IF(N23="",S23,0),IF(N23&lt;TodayDay,S23,0))</f>
        <v>0</v>
      </c>
    </row>
    <row r="24" customFormat="false" ht="15" hidden="false" customHeight="false" outlineLevel="0" collapsed="false">
      <c r="A24" s="23"/>
      <c r="B24" s="23"/>
      <c r="C24" s="23"/>
      <c r="D24" s="56"/>
      <c r="E24" s="23"/>
      <c r="F24" s="23"/>
      <c r="G24" s="23"/>
      <c r="H24" s="23"/>
      <c r="I24" s="56"/>
      <c r="J24" s="23"/>
      <c r="K24" s="28"/>
      <c r="L24" s="23"/>
      <c r="M24" s="23"/>
      <c r="N24" s="25" t="str">
        <f aca="false">IF(A24="","",IF(LEFT(A24,3)="Pre",0,IFERROR(VALUE(MID(A24,5,FIND(" ",A24&amp;" ",5)-5)),"")))</f>
        <v/>
      </c>
      <c r="O24" s="57" t="str">
        <f aca="false">IF(N24="","",IF(N24=0,"Before trip",IF(TripStart="","",TripStart+N24-1)))</f>
        <v/>
      </c>
      <c r="P24" s="58" t="str">
        <f aca="false">IF(AND(D24="",I24=""),"",IF(OR(E24="",E24=HomeCcy),1,IFERROR(INDEX(Setup!$J$26:$J$33,MATCH(E24,Setup!$G$26:$G$33,0)),IFERROR(INDEX(Settings!$S$5:$S$64,MATCH(E24,Settings!$R$5:$R$64,0))/HomeINR,1))))</f>
        <v/>
      </c>
      <c r="Q24" s="34" t="str">
        <f aca="false">IF(D24="","",D24*P24)</f>
        <v/>
      </c>
      <c r="R24" s="34" t="str">
        <f aca="false">IF(I24="","",I24*P24)</f>
        <v/>
      </c>
      <c r="S24" s="33" t="n">
        <f aca="false">IF(H24="Cancelled",0,IF(R24&lt;&gt;"",R24,IF(Q24&lt;&gt;"",Q24,0)))</f>
        <v>0</v>
      </c>
      <c r="T24" s="45" t="str">
        <f aca="false">IF(S24=0,"",IF(SUM(AE24:AN24)=0,"⚠ nobody picked",COUNTIF(AE24:AN24,"&gt;0")&amp;" people"))</f>
        <v/>
      </c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60" t="n">
        <f aca="false">IF(OR($S24=0,Setup!$B$18=""),0,IF(OR($G24="",$G24="Everyone"),1,IF($G24="Custom",N(U24),IF(OR($G24=Setup!$B$18,AND(Setup!$C$18&lt;&gt;"",$G24=Setup!$C$18)),1,0))))</f>
        <v>0</v>
      </c>
      <c r="AF24" s="60" t="n">
        <f aca="false">IF(OR($S24=0,Setup!$B$19=""),0,IF(OR($G24="",$G24="Everyone"),1,IF($G24="Custom",N(V24),IF(OR($G24=Setup!$B$19,AND(Setup!$C$19&lt;&gt;"",$G24=Setup!$C$19)),1,0))))</f>
        <v>0</v>
      </c>
      <c r="AG24" s="60" t="n">
        <f aca="false">IF(OR($S24=0,Setup!$B$20=""),0,IF(OR($G24="",$G24="Everyone"),1,IF($G24="Custom",N(W24),IF(OR($G24=Setup!$B$20,AND(Setup!$C$20&lt;&gt;"",$G24=Setup!$C$20)),1,0))))</f>
        <v>0</v>
      </c>
      <c r="AH24" s="60" t="n">
        <f aca="false">IF(OR($S24=0,Setup!$B$21=""),0,IF(OR($G24="",$G24="Everyone"),1,IF($G24="Custom",N(X24),IF(OR($G24=Setup!$B$21,AND(Setup!$C$21&lt;&gt;"",$G24=Setup!$C$21)),1,0))))</f>
        <v>0</v>
      </c>
      <c r="AI24" s="60" t="n">
        <f aca="false">IF(OR($S24=0,Setup!$B$22=""),0,IF(OR($G24="",$G24="Everyone"),1,IF($G24="Custom",N(Y24),IF(OR($G24=Setup!$B$22,AND(Setup!$C$22&lt;&gt;"",$G24=Setup!$C$22)),1,0))))</f>
        <v>0</v>
      </c>
      <c r="AJ24" s="60" t="n">
        <f aca="false">IF(OR($S24=0,Setup!$B$23=""),0,IF(OR($G24="",$G24="Everyone"),1,IF($G24="Custom",N(Z24),IF(OR($G24=Setup!$B$23,AND(Setup!$C$23&lt;&gt;"",$G24=Setup!$C$23)),1,0))))</f>
        <v>0</v>
      </c>
      <c r="AK24" s="60" t="n">
        <f aca="false">IF(OR($S24=0,Setup!$B$24=""),0,IF(OR($G24="",$G24="Everyone"),1,IF($G24="Custom",N(AA24),IF(OR($G24=Setup!$B$24,AND(Setup!$C$24&lt;&gt;"",$G24=Setup!$C$24)),1,0))))</f>
        <v>0</v>
      </c>
      <c r="AL24" s="60" t="n">
        <f aca="false">IF(OR($S24=0,Setup!$B$25=""),0,IF(OR($G24="",$G24="Everyone"),1,IF($G24="Custom",N(AB24),IF(OR($G24=Setup!$B$25,AND(Setup!$C$25&lt;&gt;"",$G24=Setup!$C$25)),1,0))))</f>
        <v>0</v>
      </c>
      <c r="AM24" s="60" t="n">
        <f aca="false">IF(OR($S24=0,Setup!$B$26=""),0,IF(OR($G24="",$G24="Everyone"),1,IF($G24="Custom",N(AC24),IF(OR($G24=Setup!$B$26,AND(Setup!$C$26&lt;&gt;"",$G24=Setup!$C$26)),1,0))))</f>
        <v>0</v>
      </c>
      <c r="AN24" s="60" t="n">
        <f aca="false">IF(OR($S24=0,Setup!$B$27=""),0,IF(OR($G24="",$G24="Everyone"),1,IF($G24="Custom",N(AD24),IF(OR($G24=Setup!$B$27,AND(Setup!$C$27&lt;&gt;"",$G24=Setup!$C$27)),1,0))))</f>
        <v>0</v>
      </c>
      <c r="AO24" s="60" t="n">
        <f aca="false">IF(SUM(AE24:AN24)=0,1,SUM(AE24:AN24))</f>
        <v>1</v>
      </c>
      <c r="AP24" s="60" t="n">
        <f aca="false">IF(H24="Paid",1,0)</f>
        <v>0</v>
      </c>
      <c r="AQ24" s="60" t="n">
        <f aca="false">IF(AND(S24&gt;0,SUM(AE24:AN24)=0),S24,0)</f>
        <v>0</v>
      </c>
      <c r="AR24" s="60" t="str">
        <f aca="false">IF(AND(N24&lt;&gt;"",TodayDay&lt;&gt;"",N24=TodayDay),COUNTIF($N$6:N24,TodayDay),"")</f>
        <v/>
      </c>
      <c r="AS24" s="60" t="n">
        <f aca="false">IF(B24="",0,IF(COUNTIFS(Settings!$A$5:$A$29,B24,Settings!$B$5:$B$29,"Yes")&gt;0,1,0))</f>
        <v>0</v>
      </c>
      <c r="AT24" s="61" t="n">
        <f aca="false">IF(OR(N24="",TodayDay=""),IF(N24="",S24,0),IF(N24&lt;TodayDay,S24,0))</f>
        <v>0</v>
      </c>
    </row>
    <row r="25" customFormat="false" ht="15" hidden="false" customHeight="false" outlineLevel="0" collapsed="false">
      <c r="A25" s="23"/>
      <c r="B25" s="23"/>
      <c r="C25" s="23"/>
      <c r="D25" s="56"/>
      <c r="E25" s="23"/>
      <c r="F25" s="23"/>
      <c r="G25" s="23"/>
      <c r="H25" s="23"/>
      <c r="I25" s="56"/>
      <c r="J25" s="23"/>
      <c r="K25" s="28"/>
      <c r="L25" s="23"/>
      <c r="M25" s="23"/>
      <c r="N25" s="25" t="str">
        <f aca="false">IF(A25="","",IF(LEFT(A25,3)="Pre",0,IFERROR(VALUE(MID(A25,5,FIND(" ",A25&amp;" ",5)-5)),"")))</f>
        <v/>
      </c>
      <c r="O25" s="57" t="str">
        <f aca="false">IF(N25="","",IF(N25=0,"Before trip",IF(TripStart="","",TripStart+N25-1)))</f>
        <v/>
      </c>
      <c r="P25" s="58" t="str">
        <f aca="false">IF(AND(D25="",I25=""),"",IF(OR(E25="",E25=HomeCcy),1,IFERROR(INDEX(Setup!$J$26:$J$33,MATCH(E25,Setup!$G$26:$G$33,0)),IFERROR(INDEX(Settings!$S$5:$S$64,MATCH(E25,Settings!$R$5:$R$64,0))/HomeINR,1))))</f>
        <v/>
      </c>
      <c r="Q25" s="34" t="str">
        <f aca="false">IF(D25="","",D25*P25)</f>
        <v/>
      </c>
      <c r="R25" s="34" t="str">
        <f aca="false">IF(I25="","",I25*P25)</f>
        <v/>
      </c>
      <c r="S25" s="33" t="n">
        <f aca="false">IF(H25="Cancelled",0,IF(R25&lt;&gt;"",R25,IF(Q25&lt;&gt;"",Q25,0)))</f>
        <v>0</v>
      </c>
      <c r="T25" s="45" t="str">
        <f aca="false">IF(S25=0,"",IF(SUM(AE25:AN25)=0,"⚠ nobody picked",COUNTIF(AE25:AN25,"&gt;0")&amp;" people"))</f>
        <v/>
      </c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60" t="n">
        <f aca="false">IF(OR($S25=0,Setup!$B$18=""),0,IF(OR($G25="",$G25="Everyone"),1,IF($G25="Custom",N(U25),IF(OR($G25=Setup!$B$18,AND(Setup!$C$18&lt;&gt;"",$G25=Setup!$C$18)),1,0))))</f>
        <v>0</v>
      </c>
      <c r="AF25" s="60" t="n">
        <f aca="false">IF(OR($S25=0,Setup!$B$19=""),0,IF(OR($G25="",$G25="Everyone"),1,IF($G25="Custom",N(V25),IF(OR($G25=Setup!$B$19,AND(Setup!$C$19&lt;&gt;"",$G25=Setup!$C$19)),1,0))))</f>
        <v>0</v>
      </c>
      <c r="AG25" s="60" t="n">
        <f aca="false">IF(OR($S25=0,Setup!$B$20=""),0,IF(OR($G25="",$G25="Everyone"),1,IF($G25="Custom",N(W25),IF(OR($G25=Setup!$B$20,AND(Setup!$C$20&lt;&gt;"",$G25=Setup!$C$20)),1,0))))</f>
        <v>0</v>
      </c>
      <c r="AH25" s="60" t="n">
        <f aca="false">IF(OR($S25=0,Setup!$B$21=""),0,IF(OR($G25="",$G25="Everyone"),1,IF($G25="Custom",N(X25),IF(OR($G25=Setup!$B$21,AND(Setup!$C$21&lt;&gt;"",$G25=Setup!$C$21)),1,0))))</f>
        <v>0</v>
      </c>
      <c r="AI25" s="60" t="n">
        <f aca="false">IF(OR($S25=0,Setup!$B$22=""),0,IF(OR($G25="",$G25="Everyone"),1,IF($G25="Custom",N(Y25),IF(OR($G25=Setup!$B$22,AND(Setup!$C$22&lt;&gt;"",$G25=Setup!$C$22)),1,0))))</f>
        <v>0</v>
      </c>
      <c r="AJ25" s="60" t="n">
        <f aca="false">IF(OR($S25=0,Setup!$B$23=""),0,IF(OR($G25="",$G25="Everyone"),1,IF($G25="Custom",N(Z25),IF(OR($G25=Setup!$B$23,AND(Setup!$C$23&lt;&gt;"",$G25=Setup!$C$23)),1,0))))</f>
        <v>0</v>
      </c>
      <c r="AK25" s="60" t="n">
        <f aca="false">IF(OR($S25=0,Setup!$B$24=""),0,IF(OR($G25="",$G25="Everyone"),1,IF($G25="Custom",N(AA25),IF(OR($G25=Setup!$B$24,AND(Setup!$C$24&lt;&gt;"",$G25=Setup!$C$24)),1,0))))</f>
        <v>0</v>
      </c>
      <c r="AL25" s="60" t="n">
        <f aca="false">IF(OR($S25=0,Setup!$B$25=""),0,IF(OR($G25="",$G25="Everyone"),1,IF($G25="Custom",N(AB25),IF(OR($G25=Setup!$B$25,AND(Setup!$C$25&lt;&gt;"",$G25=Setup!$C$25)),1,0))))</f>
        <v>0</v>
      </c>
      <c r="AM25" s="60" t="n">
        <f aca="false">IF(OR($S25=0,Setup!$B$26=""),0,IF(OR($G25="",$G25="Everyone"),1,IF($G25="Custom",N(AC25),IF(OR($G25=Setup!$B$26,AND(Setup!$C$26&lt;&gt;"",$G25=Setup!$C$26)),1,0))))</f>
        <v>0</v>
      </c>
      <c r="AN25" s="60" t="n">
        <f aca="false">IF(OR($S25=0,Setup!$B$27=""),0,IF(OR($G25="",$G25="Everyone"),1,IF($G25="Custom",N(AD25),IF(OR($G25=Setup!$B$27,AND(Setup!$C$27&lt;&gt;"",$G25=Setup!$C$27)),1,0))))</f>
        <v>0</v>
      </c>
      <c r="AO25" s="60" t="n">
        <f aca="false">IF(SUM(AE25:AN25)=0,1,SUM(AE25:AN25))</f>
        <v>1</v>
      </c>
      <c r="AP25" s="60" t="n">
        <f aca="false">IF(H25="Paid",1,0)</f>
        <v>0</v>
      </c>
      <c r="AQ25" s="60" t="n">
        <f aca="false">IF(AND(S25&gt;0,SUM(AE25:AN25)=0),S25,0)</f>
        <v>0</v>
      </c>
      <c r="AR25" s="60" t="str">
        <f aca="false">IF(AND(N25&lt;&gt;"",TodayDay&lt;&gt;"",N25=TodayDay),COUNTIF($N$6:N25,TodayDay),"")</f>
        <v/>
      </c>
      <c r="AS25" s="60" t="n">
        <f aca="false">IF(B25="",0,IF(COUNTIFS(Settings!$A$5:$A$29,B25,Settings!$B$5:$B$29,"Yes")&gt;0,1,0))</f>
        <v>0</v>
      </c>
      <c r="AT25" s="61" t="n">
        <f aca="false">IF(OR(N25="",TodayDay=""),IF(N25="",S25,0),IF(N25&lt;TodayDay,S25,0))</f>
        <v>0</v>
      </c>
    </row>
    <row r="26" customFormat="false" ht="15" hidden="false" customHeight="false" outlineLevel="0" collapsed="false">
      <c r="A26" s="23"/>
      <c r="B26" s="23"/>
      <c r="C26" s="23"/>
      <c r="D26" s="56"/>
      <c r="E26" s="23"/>
      <c r="F26" s="23"/>
      <c r="G26" s="23"/>
      <c r="H26" s="23"/>
      <c r="I26" s="56"/>
      <c r="J26" s="23"/>
      <c r="K26" s="28"/>
      <c r="L26" s="23"/>
      <c r="M26" s="23"/>
      <c r="N26" s="25" t="str">
        <f aca="false">IF(A26="","",IF(LEFT(A26,3)="Pre",0,IFERROR(VALUE(MID(A26,5,FIND(" ",A26&amp;" ",5)-5)),"")))</f>
        <v/>
      </c>
      <c r="O26" s="57" t="str">
        <f aca="false">IF(N26="","",IF(N26=0,"Before trip",IF(TripStart="","",TripStart+N26-1)))</f>
        <v/>
      </c>
      <c r="P26" s="58" t="str">
        <f aca="false">IF(AND(D26="",I26=""),"",IF(OR(E26="",E26=HomeCcy),1,IFERROR(INDEX(Setup!$J$26:$J$33,MATCH(E26,Setup!$G$26:$G$33,0)),IFERROR(INDEX(Settings!$S$5:$S$64,MATCH(E26,Settings!$R$5:$R$64,0))/HomeINR,1))))</f>
        <v/>
      </c>
      <c r="Q26" s="34" t="str">
        <f aca="false">IF(D26="","",D26*P26)</f>
        <v/>
      </c>
      <c r="R26" s="34" t="str">
        <f aca="false">IF(I26="","",I26*P26)</f>
        <v/>
      </c>
      <c r="S26" s="33" t="n">
        <f aca="false">IF(H26="Cancelled",0,IF(R26&lt;&gt;"",R26,IF(Q26&lt;&gt;"",Q26,0)))</f>
        <v>0</v>
      </c>
      <c r="T26" s="45" t="str">
        <f aca="false">IF(S26=0,"",IF(SUM(AE26:AN26)=0,"⚠ nobody picked",COUNTIF(AE26:AN26,"&gt;0")&amp;" people"))</f>
        <v/>
      </c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60" t="n">
        <f aca="false">IF(OR($S26=0,Setup!$B$18=""),0,IF(OR($G26="",$G26="Everyone"),1,IF($G26="Custom",N(U26),IF(OR($G26=Setup!$B$18,AND(Setup!$C$18&lt;&gt;"",$G26=Setup!$C$18)),1,0))))</f>
        <v>0</v>
      </c>
      <c r="AF26" s="60" t="n">
        <f aca="false">IF(OR($S26=0,Setup!$B$19=""),0,IF(OR($G26="",$G26="Everyone"),1,IF($G26="Custom",N(V26),IF(OR($G26=Setup!$B$19,AND(Setup!$C$19&lt;&gt;"",$G26=Setup!$C$19)),1,0))))</f>
        <v>0</v>
      </c>
      <c r="AG26" s="60" t="n">
        <f aca="false">IF(OR($S26=0,Setup!$B$20=""),0,IF(OR($G26="",$G26="Everyone"),1,IF($G26="Custom",N(W26),IF(OR($G26=Setup!$B$20,AND(Setup!$C$20&lt;&gt;"",$G26=Setup!$C$20)),1,0))))</f>
        <v>0</v>
      </c>
      <c r="AH26" s="60" t="n">
        <f aca="false">IF(OR($S26=0,Setup!$B$21=""),0,IF(OR($G26="",$G26="Everyone"),1,IF($G26="Custom",N(X26),IF(OR($G26=Setup!$B$21,AND(Setup!$C$21&lt;&gt;"",$G26=Setup!$C$21)),1,0))))</f>
        <v>0</v>
      </c>
      <c r="AI26" s="60" t="n">
        <f aca="false">IF(OR($S26=0,Setup!$B$22=""),0,IF(OR($G26="",$G26="Everyone"),1,IF($G26="Custom",N(Y26),IF(OR($G26=Setup!$B$22,AND(Setup!$C$22&lt;&gt;"",$G26=Setup!$C$22)),1,0))))</f>
        <v>0</v>
      </c>
      <c r="AJ26" s="60" t="n">
        <f aca="false">IF(OR($S26=0,Setup!$B$23=""),0,IF(OR($G26="",$G26="Everyone"),1,IF($G26="Custom",N(Z26),IF(OR($G26=Setup!$B$23,AND(Setup!$C$23&lt;&gt;"",$G26=Setup!$C$23)),1,0))))</f>
        <v>0</v>
      </c>
      <c r="AK26" s="60" t="n">
        <f aca="false">IF(OR($S26=0,Setup!$B$24=""),0,IF(OR($G26="",$G26="Everyone"),1,IF($G26="Custom",N(AA26),IF(OR($G26=Setup!$B$24,AND(Setup!$C$24&lt;&gt;"",$G26=Setup!$C$24)),1,0))))</f>
        <v>0</v>
      </c>
      <c r="AL26" s="60" t="n">
        <f aca="false">IF(OR($S26=0,Setup!$B$25=""),0,IF(OR($G26="",$G26="Everyone"),1,IF($G26="Custom",N(AB26),IF(OR($G26=Setup!$B$25,AND(Setup!$C$25&lt;&gt;"",$G26=Setup!$C$25)),1,0))))</f>
        <v>0</v>
      </c>
      <c r="AM26" s="60" t="n">
        <f aca="false">IF(OR($S26=0,Setup!$B$26=""),0,IF(OR($G26="",$G26="Everyone"),1,IF($G26="Custom",N(AC26),IF(OR($G26=Setup!$B$26,AND(Setup!$C$26&lt;&gt;"",$G26=Setup!$C$26)),1,0))))</f>
        <v>0</v>
      </c>
      <c r="AN26" s="60" t="n">
        <f aca="false">IF(OR($S26=0,Setup!$B$27=""),0,IF(OR($G26="",$G26="Everyone"),1,IF($G26="Custom",N(AD26),IF(OR($G26=Setup!$B$27,AND(Setup!$C$27&lt;&gt;"",$G26=Setup!$C$27)),1,0))))</f>
        <v>0</v>
      </c>
      <c r="AO26" s="60" t="n">
        <f aca="false">IF(SUM(AE26:AN26)=0,1,SUM(AE26:AN26))</f>
        <v>1</v>
      </c>
      <c r="AP26" s="60" t="n">
        <f aca="false">IF(H26="Paid",1,0)</f>
        <v>0</v>
      </c>
      <c r="AQ26" s="60" t="n">
        <f aca="false">IF(AND(S26&gt;0,SUM(AE26:AN26)=0),S26,0)</f>
        <v>0</v>
      </c>
      <c r="AR26" s="60" t="str">
        <f aca="false">IF(AND(N26&lt;&gt;"",TodayDay&lt;&gt;"",N26=TodayDay),COUNTIF($N$6:N26,TodayDay),"")</f>
        <v/>
      </c>
      <c r="AS26" s="60" t="n">
        <f aca="false">IF(B26="",0,IF(COUNTIFS(Settings!$A$5:$A$29,B26,Settings!$B$5:$B$29,"Yes")&gt;0,1,0))</f>
        <v>0</v>
      </c>
      <c r="AT26" s="61" t="n">
        <f aca="false">IF(OR(N26="",TodayDay=""),IF(N26="",S26,0),IF(N26&lt;TodayDay,S26,0))</f>
        <v>0</v>
      </c>
    </row>
    <row r="27" customFormat="false" ht="15" hidden="false" customHeight="false" outlineLevel="0" collapsed="false">
      <c r="A27" s="23"/>
      <c r="B27" s="23"/>
      <c r="C27" s="23"/>
      <c r="D27" s="56"/>
      <c r="E27" s="23"/>
      <c r="F27" s="23"/>
      <c r="G27" s="23"/>
      <c r="H27" s="23"/>
      <c r="I27" s="56"/>
      <c r="J27" s="23"/>
      <c r="K27" s="28"/>
      <c r="L27" s="23"/>
      <c r="M27" s="23"/>
      <c r="N27" s="25" t="str">
        <f aca="false">IF(A27="","",IF(LEFT(A27,3)="Pre",0,IFERROR(VALUE(MID(A27,5,FIND(" ",A27&amp;" ",5)-5)),"")))</f>
        <v/>
      </c>
      <c r="O27" s="57" t="str">
        <f aca="false">IF(N27="","",IF(N27=0,"Before trip",IF(TripStart="","",TripStart+N27-1)))</f>
        <v/>
      </c>
      <c r="P27" s="58" t="str">
        <f aca="false">IF(AND(D27="",I27=""),"",IF(OR(E27="",E27=HomeCcy),1,IFERROR(INDEX(Setup!$J$26:$J$33,MATCH(E27,Setup!$G$26:$G$33,0)),IFERROR(INDEX(Settings!$S$5:$S$64,MATCH(E27,Settings!$R$5:$R$64,0))/HomeINR,1))))</f>
        <v/>
      </c>
      <c r="Q27" s="34" t="str">
        <f aca="false">IF(D27="","",D27*P27)</f>
        <v/>
      </c>
      <c r="R27" s="34" t="str">
        <f aca="false">IF(I27="","",I27*P27)</f>
        <v/>
      </c>
      <c r="S27" s="33" t="n">
        <f aca="false">IF(H27="Cancelled",0,IF(R27&lt;&gt;"",R27,IF(Q27&lt;&gt;"",Q27,0)))</f>
        <v>0</v>
      </c>
      <c r="T27" s="45" t="str">
        <f aca="false">IF(S27=0,"",IF(SUM(AE27:AN27)=0,"⚠ nobody picked",COUNTIF(AE27:AN27,"&gt;0")&amp;" people"))</f>
        <v/>
      </c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60" t="n">
        <f aca="false">IF(OR($S27=0,Setup!$B$18=""),0,IF(OR($G27="",$G27="Everyone"),1,IF($G27="Custom",N(U27),IF(OR($G27=Setup!$B$18,AND(Setup!$C$18&lt;&gt;"",$G27=Setup!$C$18)),1,0))))</f>
        <v>0</v>
      </c>
      <c r="AF27" s="60" t="n">
        <f aca="false">IF(OR($S27=0,Setup!$B$19=""),0,IF(OR($G27="",$G27="Everyone"),1,IF($G27="Custom",N(V27),IF(OR($G27=Setup!$B$19,AND(Setup!$C$19&lt;&gt;"",$G27=Setup!$C$19)),1,0))))</f>
        <v>0</v>
      </c>
      <c r="AG27" s="60" t="n">
        <f aca="false">IF(OR($S27=0,Setup!$B$20=""),0,IF(OR($G27="",$G27="Everyone"),1,IF($G27="Custom",N(W27),IF(OR($G27=Setup!$B$20,AND(Setup!$C$20&lt;&gt;"",$G27=Setup!$C$20)),1,0))))</f>
        <v>0</v>
      </c>
      <c r="AH27" s="60" t="n">
        <f aca="false">IF(OR($S27=0,Setup!$B$21=""),0,IF(OR($G27="",$G27="Everyone"),1,IF($G27="Custom",N(X27),IF(OR($G27=Setup!$B$21,AND(Setup!$C$21&lt;&gt;"",$G27=Setup!$C$21)),1,0))))</f>
        <v>0</v>
      </c>
      <c r="AI27" s="60" t="n">
        <f aca="false">IF(OR($S27=0,Setup!$B$22=""),0,IF(OR($G27="",$G27="Everyone"),1,IF($G27="Custom",N(Y27),IF(OR($G27=Setup!$B$22,AND(Setup!$C$22&lt;&gt;"",$G27=Setup!$C$22)),1,0))))</f>
        <v>0</v>
      </c>
      <c r="AJ27" s="60" t="n">
        <f aca="false">IF(OR($S27=0,Setup!$B$23=""),0,IF(OR($G27="",$G27="Everyone"),1,IF($G27="Custom",N(Z27),IF(OR($G27=Setup!$B$23,AND(Setup!$C$23&lt;&gt;"",$G27=Setup!$C$23)),1,0))))</f>
        <v>0</v>
      </c>
      <c r="AK27" s="60" t="n">
        <f aca="false">IF(OR($S27=0,Setup!$B$24=""),0,IF(OR($G27="",$G27="Everyone"),1,IF($G27="Custom",N(AA27),IF(OR($G27=Setup!$B$24,AND(Setup!$C$24&lt;&gt;"",$G27=Setup!$C$24)),1,0))))</f>
        <v>0</v>
      </c>
      <c r="AL27" s="60" t="n">
        <f aca="false">IF(OR($S27=0,Setup!$B$25=""),0,IF(OR($G27="",$G27="Everyone"),1,IF($G27="Custom",N(AB27),IF(OR($G27=Setup!$B$25,AND(Setup!$C$25&lt;&gt;"",$G27=Setup!$C$25)),1,0))))</f>
        <v>0</v>
      </c>
      <c r="AM27" s="60" t="n">
        <f aca="false">IF(OR($S27=0,Setup!$B$26=""),0,IF(OR($G27="",$G27="Everyone"),1,IF($G27="Custom",N(AC27),IF(OR($G27=Setup!$B$26,AND(Setup!$C$26&lt;&gt;"",$G27=Setup!$C$26)),1,0))))</f>
        <v>0</v>
      </c>
      <c r="AN27" s="60" t="n">
        <f aca="false">IF(OR($S27=0,Setup!$B$27=""),0,IF(OR($G27="",$G27="Everyone"),1,IF($G27="Custom",N(AD27),IF(OR($G27=Setup!$B$27,AND(Setup!$C$27&lt;&gt;"",$G27=Setup!$C$27)),1,0))))</f>
        <v>0</v>
      </c>
      <c r="AO27" s="60" t="n">
        <f aca="false">IF(SUM(AE27:AN27)=0,1,SUM(AE27:AN27))</f>
        <v>1</v>
      </c>
      <c r="AP27" s="60" t="n">
        <f aca="false">IF(H27="Paid",1,0)</f>
        <v>0</v>
      </c>
      <c r="AQ27" s="60" t="n">
        <f aca="false">IF(AND(S27&gt;0,SUM(AE27:AN27)=0),S27,0)</f>
        <v>0</v>
      </c>
      <c r="AR27" s="60" t="str">
        <f aca="false">IF(AND(N27&lt;&gt;"",TodayDay&lt;&gt;"",N27=TodayDay),COUNTIF($N$6:N27,TodayDay),"")</f>
        <v/>
      </c>
      <c r="AS27" s="60" t="n">
        <f aca="false">IF(B27="",0,IF(COUNTIFS(Settings!$A$5:$A$29,B27,Settings!$B$5:$B$29,"Yes")&gt;0,1,0))</f>
        <v>0</v>
      </c>
      <c r="AT27" s="61" t="n">
        <f aca="false">IF(OR(N27="",TodayDay=""),IF(N27="",S27,0),IF(N27&lt;TodayDay,S27,0))</f>
        <v>0</v>
      </c>
    </row>
    <row r="28" customFormat="false" ht="15" hidden="false" customHeight="false" outlineLevel="0" collapsed="false">
      <c r="A28" s="23"/>
      <c r="B28" s="23"/>
      <c r="C28" s="23"/>
      <c r="D28" s="56"/>
      <c r="E28" s="23"/>
      <c r="F28" s="23"/>
      <c r="G28" s="23"/>
      <c r="H28" s="23"/>
      <c r="I28" s="56"/>
      <c r="J28" s="23"/>
      <c r="K28" s="28"/>
      <c r="L28" s="23"/>
      <c r="M28" s="23"/>
      <c r="N28" s="25" t="str">
        <f aca="false">IF(A28="","",IF(LEFT(A28,3)="Pre",0,IFERROR(VALUE(MID(A28,5,FIND(" ",A28&amp;" ",5)-5)),"")))</f>
        <v/>
      </c>
      <c r="O28" s="57" t="str">
        <f aca="false">IF(N28="","",IF(N28=0,"Before trip",IF(TripStart="","",TripStart+N28-1)))</f>
        <v/>
      </c>
      <c r="P28" s="58" t="str">
        <f aca="false">IF(AND(D28="",I28=""),"",IF(OR(E28="",E28=HomeCcy),1,IFERROR(INDEX(Setup!$J$26:$J$33,MATCH(E28,Setup!$G$26:$G$33,0)),IFERROR(INDEX(Settings!$S$5:$S$64,MATCH(E28,Settings!$R$5:$R$64,0))/HomeINR,1))))</f>
        <v/>
      </c>
      <c r="Q28" s="34" t="str">
        <f aca="false">IF(D28="","",D28*P28)</f>
        <v/>
      </c>
      <c r="R28" s="34" t="str">
        <f aca="false">IF(I28="","",I28*P28)</f>
        <v/>
      </c>
      <c r="S28" s="33" t="n">
        <f aca="false">IF(H28="Cancelled",0,IF(R28&lt;&gt;"",R28,IF(Q28&lt;&gt;"",Q28,0)))</f>
        <v>0</v>
      </c>
      <c r="T28" s="45" t="str">
        <f aca="false">IF(S28=0,"",IF(SUM(AE28:AN28)=0,"⚠ nobody picked",COUNTIF(AE28:AN28,"&gt;0")&amp;" people"))</f>
        <v/>
      </c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60" t="n">
        <f aca="false">IF(OR($S28=0,Setup!$B$18=""),0,IF(OR($G28="",$G28="Everyone"),1,IF($G28="Custom",N(U28),IF(OR($G28=Setup!$B$18,AND(Setup!$C$18&lt;&gt;"",$G28=Setup!$C$18)),1,0))))</f>
        <v>0</v>
      </c>
      <c r="AF28" s="60" t="n">
        <f aca="false">IF(OR($S28=0,Setup!$B$19=""),0,IF(OR($G28="",$G28="Everyone"),1,IF($G28="Custom",N(V28),IF(OR($G28=Setup!$B$19,AND(Setup!$C$19&lt;&gt;"",$G28=Setup!$C$19)),1,0))))</f>
        <v>0</v>
      </c>
      <c r="AG28" s="60" t="n">
        <f aca="false">IF(OR($S28=0,Setup!$B$20=""),0,IF(OR($G28="",$G28="Everyone"),1,IF($G28="Custom",N(W28),IF(OR($G28=Setup!$B$20,AND(Setup!$C$20&lt;&gt;"",$G28=Setup!$C$20)),1,0))))</f>
        <v>0</v>
      </c>
      <c r="AH28" s="60" t="n">
        <f aca="false">IF(OR($S28=0,Setup!$B$21=""),0,IF(OR($G28="",$G28="Everyone"),1,IF($G28="Custom",N(X28),IF(OR($G28=Setup!$B$21,AND(Setup!$C$21&lt;&gt;"",$G28=Setup!$C$21)),1,0))))</f>
        <v>0</v>
      </c>
      <c r="AI28" s="60" t="n">
        <f aca="false">IF(OR($S28=0,Setup!$B$22=""),0,IF(OR($G28="",$G28="Everyone"),1,IF($G28="Custom",N(Y28),IF(OR($G28=Setup!$B$22,AND(Setup!$C$22&lt;&gt;"",$G28=Setup!$C$22)),1,0))))</f>
        <v>0</v>
      </c>
      <c r="AJ28" s="60" t="n">
        <f aca="false">IF(OR($S28=0,Setup!$B$23=""),0,IF(OR($G28="",$G28="Everyone"),1,IF($G28="Custom",N(Z28),IF(OR($G28=Setup!$B$23,AND(Setup!$C$23&lt;&gt;"",$G28=Setup!$C$23)),1,0))))</f>
        <v>0</v>
      </c>
      <c r="AK28" s="60" t="n">
        <f aca="false">IF(OR($S28=0,Setup!$B$24=""),0,IF(OR($G28="",$G28="Everyone"),1,IF($G28="Custom",N(AA28),IF(OR($G28=Setup!$B$24,AND(Setup!$C$24&lt;&gt;"",$G28=Setup!$C$24)),1,0))))</f>
        <v>0</v>
      </c>
      <c r="AL28" s="60" t="n">
        <f aca="false">IF(OR($S28=0,Setup!$B$25=""),0,IF(OR($G28="",$G28="Everyone"),1,IF($G28="Custom",N(AB28),IF(OR($G28=Setup!$B$25,AND(Setup!$C$25&lt;&gt;"",$G28=Setup!$C$25)),1,0))))</f>
        <v>0</v>
      </c>
      <c r="AM28" s="60" t="n">
        <f aca="false">IF(OR($S28=0,Setup!$B$26=""),0,IF(OR($G28="",$G28="Everyone"),1,IF($G28="Custom",N(AC28),IF(OR($G28=Setup!$B$26,AND(Setup!$C$26&lt;&gt;"",$G28=Setup!$C$26)),1,0))))</f>
        <v>0</v>
      </c>
      <c r="AN28" s="60" t="n">
        <f aca="false">IF(OR($S28=0,Setup!$B$27=""),0,IF(OR($G28="",$G28="Everyone"),1,IF($G28="Custom",N(AD28),IF(OR($G28=Setup!$B$27,AND(Setup!$C$27&lt;&gt;"",$G28=Setup!$C$27)),1,0))))</f>
        <v>0</v>
      </c>
      <c r="AO28" s="60" t="n">
        <f aca="false">IF(SUM(AE28:AN28)=0,1,SUM(AE28:AN28))</f>
        <v>1</v>
      </c>
      <c r="AP28" s="60" t="n">
        <f aca="false">IF(H28="Paid",1,0)</f>
        <v>0</v>
      </c>
      <c r="AQ28" s="60" t="n">
        <f aca="false">IF(AND(S28&gt;0,SUM(AE28:AN28)=0),S28,0)</f>
        <v>0</v>
      </c>
      <c r="AR28" s="60" t="str">
        <f aca="false">IF(AND(N28&lt;&gt;"",TodayDay&lt;&gt;"",N28=TodayDay),COUNTIF($N$6:N28,TodayDay),"")</f>
        <v/>
      </c>
      <c r="AS28" s="60" t="n">
        <f aca="false">IF(B28="",0,IF(COUNTIFS(Settings!$A$5:$A$29,B28,Settings!$B$5:$B$29,"Yes")&gt;0,1,0))</f>
        <v>0</v>
      </c>
      <c r="AT28" s="61" t="n">
        <f aca="false">IF(OR(N28="",TodayDay=""),IF(N28="",S28,0),IF(N28&lt;TodayDay,S28,0))</f>
        <v>0</v>
      </c>
    </row>
    <row r="29" customFormat="false" ht="15" hidden="false" customHeight="false" outlineLevel="0" collapsed="false">
      <c r="A29" s="23"/>
      <c r="B29" s="23"/>
      <c r="C29" s="23"/>
      <c r="D29" s="56"/>
      <c r="E29" s="23"/>
      <c r="F29" s="23"/>
      <c r="G29" s="23"/>
      <c r="H29" s="23"/>
      <c r="I29" s="56"/>
      <c r="J29" s="23"/>
      <c r="K29" s="28"/>
      <c r="L29" s="23"/>
      <c r="M29" s="23"/>
      <c r="N29" s="25" t="str">
        <f aca="false">IF(A29="","",IF(LEFT(A29,3)="Pre",0,IFERROR(VALUE(MID(A29,5,FIND(" ",A29&amp;" ",5)-5)),"")))</f>
        <v/>
      </c>
      <c r="O29" s="57" t="str">
        <f aca="false">IF(N29="","",IF(N29=0,"Before trip",IF(TripStart="","",TripStart+N29-1)))</f>
        <v/>
      </c>
      <c r="P29" s="58" t="str">
        <f aca="false">IF(AND(D29="",I29=""),"",IF(OR(E29="",E29=HomeCcy),1,IFERROR(INDEX(Setup!$J$26:$J$33,MATCH(E29,Setup!$G$26:$G$33,0)),IFERROR(INDEX(Settings!$S$5:$S$64,MATCH(E29,Settings!$R$5:$R$64,0))/HomeINR,1))))</f>
        <v/>
      </c>
      <c r="Q29" s="34" t="str">
        <f aca="false">IF(D29="","",D29*P29)</f>
        <v/>
      </c>
      <c r="R29" s="34" t="str">
        <f aca="false">IF(I29="","",I29*P29)</f>
        <v/>
      </c>
      <c r="S29" s="33" t="n">
        <f aca="false">IF(H29="Cancelled",0,IF(R29&lt;&gt;"",R29,IF(Q29&lt;&gt;"",Q29,0)))</f>
        <v>0</v>
      </c>
      <c r="T29" s="45" t="str">
        <f aca="false">IF(S29=0,"",IF(SUM(AE29:AN29)=0,"⚠ nobody picked",COUNTIF(AE29:AN29,"&gt;0")&amp;" people"))</f>
        <v/>
      </c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60" t="n">
        <f aca="false">IF(OR($S29=0,Setup!$B$18=""),0,IF(OR($G29="",$G29="Everyone"),1,IF($G29="Custom",N(U29),IF(OR($G29=Setup!$B$18,AND(Setup!$C$18&lt;&gt;"",$G29=Setup!$C$18)),1,0))))</f>
        <v>0</v>
      </c>
      <c r="AF29" s="60" t="n">
        <f aca="false">IF(OR($S29=0,Setup!$B$19=""),0,IF(OR($G29="",$G29="Everyone"),1,IF($G29="Custom",N(V29),IF(OR($G29=Setup!$B$19,AND(Setup!$C$19&lt;&gt;"",$G29=Setup!$C$19)),1,0))))</f>
        <v>0</v>
      </c>
      <c r="AG29" s="60" t="n">
        <f aca="false">IF(OR($S29=0,Setup!$B$20=""),0,IF(OR($G29="",$G29="Everyone"),1,IF($G29="Custom",N(W29),IF(OR($G29=Setup!$B$20,AND(Setup!$C$20&lt;&gt;"",$G29=Setup!$C$20)),1,0))))</f>
        <v>0</v>
      </c>
      <c r="AH29" s="60" t="n">
        <f aca="false">IF(OR($S29=0,Setup!$B$21=""),0,IF(OR($G29="",$G29="Everyone"),1,IF($G29="Custom",N(X29),IF(OR($G29=Setup!$B$21,AND(Setup!$C$21&lt;&gt;"",$G29=Setup!$C$21)),1,0))))</f>
        <v>0</v>
      </c>
      <c r="AI29" s="60" t="n">
        <f aca="false">IF(OR($S29=0,Setup!$B$22=""),0,IF(OR($G29="",$G29="Everyone"),1,IF($G29="Custom",N(Y29),IF(OR($G29=Setup!$B$22,AND(Setup!$C$22&lt;&gt;"",$G29=Setup!$C$22)),1,0))))</f>
        <v>0</v>
      </c>
      <c r="AJ29" s="60" t="n">
        <f aca="false">IF(OR($S29=0,Setup!$B$23=""),0,IF(OR($G29="",$G29="Everyone"),1,IF($G29="Custom",N(Z29),IF(OR($G29=Setup!$B$23,AND(Setup!$C$23&lt;&gt;"",$G29=Setup!$C$23)),1,0))))</f>
        <v>0</v>
      </c>
      <c r="AK29" s="60" t="n">
        <f aca="false">IF(OR($S29=0,Setup!$B$24=""),0,IF(OR($G29="",$G29="Everyone"),1,IF($G29="Custom",N(AA29),IF(OR($G29=Setup!$B$24,AND(Setup!$C$24&lt;&gt;"",$G29=Setup!$C$24)),1,0))))</f>
        <v>0</v>
      </c>
      <c r="AL29" s="60" t="n">
        <f aca="false">IF(OR($S29=0,Setup!$B$25=""),0,IF(OR($G29="",$G29="Everyone"),1,IF($G29="Custom",N(AB29),IF(OR($G29=Setup!$B$25,AND(Setup!$C$25&lt;&gt;"",$G29=Setup!$C$25)),1,0))))</f>
        <v>0</v>
      </c>
      <c r="AM29" s="60" t="n">
        <f aca="false">IF(OR($S29=0,Setup!$B$26=""),0,IF(OR($G29="",$G29="Everyone"),1,IF($G29="Custom",N(AC29),IF(OR($G29=Setup!$B$26,AND(Setup!$C$26&lt;&gt;"",$G29=Setup!$C$26)),1,0))))</f>
        <v>0</v>
      </c>
      <c r="AN29" s="60" t="n">
        <f aca="false">IF(OR($S29=0,Setup!$B$27=""),0,IF(OR($G29="",$G29="Everyone"),1,IF($G29="Custom",N(AD29),IF(OR($G29=Setup!$B$27,AND(Setup!$C$27&lt;&gt;"",$G29=Setup!$C$27)),1,0))))</f>
        <v>0</v>
      </c>
      <c r="AO29" s="60" t="n">
        <f aca="false">IF(SUM(AE29:AN29)=0,1,SUM(AE29:AN29))</f>
        <v>1</v>
      </c>
      <c r="AP29" s="60" t="n">
        <f aca="false">IF(H29="Paid",1,0)</f>
        <v>0</v>
      </c>
      <c r="AQ29" s="60" t="n">
        <f aca="false">IF(AND(S29&gt;0,SUM(AE29:AN29)=0),S29,0)</f>
        <v>0</v>
      </c>
      <c r="AR29" s="60" t="str">
        <f aca="false">IF(AND(N29&lt;&gt;"",TodayDay&lt;&gt;"",N29=TodayDay),COUNTIF($N$6:N29,TodayDay),"")</f>
        <v/>
      </c>
      <c r="AS29" s="60" t="n">
        <f aca="false">IF(B29="",0,IF(COUNTIFS(Settings!$A$5:$A$29,B29,Settings!$B$5:$B$29,"Yes")&gt;0,1,0))</f>
        <v>0</v>
      </c>
      <c r="AT29" s="61" t="n">
        <f aca="false">IF(OR(N29="",TodayDay=""),IF(N29="",S29,0),IF(N29&lt;TodayDay,S29,0))</f>
        <v>0</v>
      </c>
    </row>
    <row r="30" customFormat="false" ht="15" hidden="false" customHeight="false" outlineLevel="0" collapsed="false">
      <c r="A30" s="23"/>
      <c r="B30" s="23"/>
      <c r="C30" s="23"/>
      <c r="D30" s="56"/>
      <c r="E30" s="23"/>
      <c r="F30" s="23"/>
      <c r="G30" s="23"/>
      <c r="H30" s="23"/>
      <c r="I30" s="56"/>
      <c r="J30" s="23"/>
      <c r="K30" s="28"/>
      <c r="L30" s="23"/>
      <c r="M30" s="23"/>
      <c r="N30" s="25" t="str">
        <f aca="false">IF(A30="","",IF(LEFT(A30,3)="Pre",0,IFERROR(VALUE(MID(A30,5,FIND(" ",A30&amp;" ",5)-5)),"")))</f>
        <v/>
      </c>
      <c r="O30" s="57" t="str">
        <f aca="false">IF(N30="","",IF(N30=0,"Before trip",IF(TripStart="","",TripStart+N30-1)))</f>
        <v/>
      </c>
      <c r="P30" s="58" t="str">
        <f aca="false">IF(AND(D30="",I30=""),"",IF(OR(E30="",E30=HomeCcy),1,IFERROR(INDEX(Setup!$J$26:$J$33,MATCH(E30,Setup!$G$26:$G$33,0)),IFERROR(INDEX(Settings!$S$5:$S$64,MATCH(E30,Settings!$R$5:$R$64,0))/HomeINR,1))))</f>
        <v/>
      </c>
      <c r="Q30" s="34" t="str">
        <f aca="false">IF(D30="","",D30*P30)</f>
        <v/>
      </c>
      <c r="R30" s="34" t="str">
        <f aca="false">IF(I30="","",I30*P30)</f>
        <v/>
      </c>
      <c r="S30" s="33" t="n">
        <f aca="false">IF(H30="Cancelled",0,IF(R30&lt;&gt;"",R30,IF(Q30&lt;&gt;"",Q30,0)))</f>
        <v>0</v>
      </c>
      <c r="T30" s="45" t="str">
        <f aca="false">IF(S30=0,"",IF(SUM(AE30:AN30)=0,"⚠ nobody picked",COUNTIF(AE30:AN30,"&gt;0")&amp;" people"))</f>
        <v/>
      </c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60" t="n">
        <f aca="false">IF(OR($S30=0,Setup!$B$18=""),0,IF(OR($G30="",$G30="Everyone"),1,IF($G30="Custom",N(U30),IF(OR($G30=Setup!$B$18,AND(Setup!$C$18&lt;&gt;"",$G30=Setup!$C$18)),1,0))))</f>
        <v>0</v>
      </c>
      <c r="AF30" s="60" t="n">
        <f aca="false">IF(OR($S30=0,Setup!$B$19=""),0,IF(OR($G30="",$G30="Everyone"),1,IF($G30="Custom",N(V30),IF(OR($G30=Setup!$B$19,AND(Setup!$C$19&lt;&gt;"",$G30=Setup!$C$19)),1,0))))</f>
        <v>0</v>
      </c>
      <c r="AG30" s="60" t="n">
        <f aca="false">IF(OR($S30=0,Setup!$B$20=""),0,IF(OR($G30="",$G30="Everyone"),1,IF($G30="Custom",N(W30),IF(OR($G30=Setup!$B$20,AND(Setup!$C$20&lt;&gt;"",$G30=Setup!$C$20)),1,0))))</f>
        <v>0</v>
      </c>
      <c r="AH30" s="60" t="n">
        <f aca="false">IF(OR($S30=0,Setup!$B$21=""),0,IF(OR($G30="",$G30="Everyone"),1,IF($G30="Custom",N(X30),IF(OR($G30=Setup!$B$21,AND(Setup!$C$21&lt;&gt;"",$G30=Setup!$C$21)),1,0))))</f>
        <v>0</v>
      </c>
      <c r="AI30" s="60" t="n">
        <f aca="false">IF(OR($S30=0,Setup!$B$22=""),0,IF(OR($G30="",$G30="Everyone"),1,IF($G30="Custom",N(Y30),IF(OR($G30=Setup!$B$22,AND(Setup!$C$22&lt;&gt;"",$G30=Setup!$C$22)),1,0))))</f>
        <v>0</v>
      </c>
      <c r="AJ30" s="60" t="n">
        <f aca="false">IF(OR($S30=0,Setup!$B$23=""),0,IF(OR($G30="",$G30="Everyone"),1,IF($G30="Custom",N(Z30),IF(OR($G30=Setup!$B$23,AND(Setup!$C$23&lt;&gt;"",$G30=Setup!$C$23)),1,0))))</f>
        <v>0</v>
      </c>
      <c r="AK30" s="60" t="n">
        <f aca="false">IF(OR($S30=0,Setup!$B$24=""),0,IF(OR($G30="",$G30="Everyone"),1,IF($G30="Custom",N(AA30),IF(OR($G30=Setup!$B$24,AND(Setup!$C$24&lt;&gt;"",$G30=Setup!$C$24)),1,0))))</f>
        <v>0</v>
      </c>
      <c r="AL30" s="60" t="n">
        <f aca="false">IF(OR($S30=0,Setup!$B$25=""),0,IF(OR($G30="",$G30="Everyone"),1,IF($G30="Custom",N(AB30),IF(OR($G30=Setup!$B$25,AND(Setup!$C$25&lt;&gt;"",$G30=Setup!$C$25)),1,0))))</f>
        <v>0</v>
      </c>
      <c r="AM30" s="60" t="n">
        <f aca="false">IF(OR($S30=0,Setup!$B$26=""),0,IF(OR($G30="",$G30="Everyone"),1,IF($G30="Custom",N(AC30),IF(OR($G30=Setup!$B$26,AND(Setup!$C$26&lt;&gt;"",$G30=Setup!$C$26)),1,0))))</f>
        <v>0</v>
      </c>
      <c r="AN30" s="60" t="n">
        <f aca="false">IF(OR($S30=0,Setup!$B$27=""),0,IF(OR($G30="",$G30="Everyone"),1,IF($G30="Custom",N(AD30),IF(OR($G30=Setup!$B$27,AND(Setup!$C$27&lt;&gt;"",$G30=Setup!$C$27)),1,0))))</f>
        <v>0</v>
      </c>
      <c r="AO30" s="60" t="n">
        <f aca="false">IF(SUM(AE30:AN30)=0,1,SUM(AE30:AN30))</f>
        <v>1</v>
      </c>
      <c r="AP30" s="60" t="n">
        <f aca="false">IF(H30="Paid",1,0)</f>
        <v>0</v>
      </c>
      <c r="AQ30" s="60" t="n">
        <f aca="false">IF(AND(S30&gt;0,SUM(AE30:AN30)=0),S30,0)</f>
        <v>0</v>
      </c>
      <c r="AR30" s="60" t="str">
        <f aca="false">IF(AND(N30&lt;&gt;"",TodayDay&lt;&gt;"",N30=TodayDay),COUNTIF($N$6:N30,TodayDay),"")</f>
        <v/>
      </c>
      <c r="AS30" s="60" t="n">
        <f aca="false">IF(B30="",0,IF(COUNTIFS(Settings!$A$5:$A$29,B30,Settings!$B$5:$B$29,"Yes")&gt;0,1,0))</f>
        <v>0</v>
      </c>
      <c r="AT30" s="61" t="n">
        <f aca="false">IF(OR(N30="",TodayDay=""),IF(N30="",S30,0),IF(N30&lt;TodayDay,S30,0))</f>
        <v>0</v>
      </c>
    </row>
    <row r="31" customFormat="false" ht="15" hidden="false" customHeight="false" outlineLevel="0" collapsed="false">
      <c r="A31" s="23"/>
      <c r="B31" s="23"/>
      <c r="C31" s="23"/>
      <c r="D31" s="56"/>
      <c r="E31" s="23"/>
      <c r="F31" s="23"/>
      <c r="G31" s="23"/>
      <c r="H31" s="23"/>
      <c r="I31" s="56"/>
      <c r="J31" s="23"/>
      <c r="K31" s="28"/>
      <c r="L31" s="23"/>
      <c r="M31" s="23"/>
      <c r="N31" s="25" t="str">
        <f aca="false">IF(A31="","",IF(LEFT(A31,3)="Pre",0,IFERROR(VALUE(MID(A31,5,FIND(" ",A31&amp;" ",5)-5)),"")))</f>
        <v/>
      </c>
      <c r="O31" s="57" t="str">
        <f aca="false">IF(N31="","",IF(N31=0,"Before trip",IF(TripStart="","",TripStart+N31-1)))</f>
        <v/>
      </c>
      <c r="P31" s="58" t="str">
        <f aca="false">IF(AND(D31="",I31=""),"",IF(OR(E31="",E31=HomeCcy),1,IFERROR(INDEX(Setup!$J$26:$J$33,MATCH(E31,Setup!$G$26:$G$33,0)),IFERROR(INDEX(Settings!$S$5:$S$64,MATCH(E31,Settings!$R$5:$R$64,0))/HomeINR,1))))</f>
        <v/>
      </c>
      <c r="Q31" s="34" t="str">
        <f aca="false">IF(D31="","",D31*P31)</f>
        <v/>
      </c>
      <c r="R31" s="34" t="str">
        <f aca="false">IF(I31="","",I31*P31)</f>
        <v/>
      </c>
      <c r="S31" s="33" t="n">
        <f aca="false">IF(H31="Cancelled",0,IF(R31&lt;&gt;"",R31,IF(Q31&lt;&gt;"",Q31,0)))</f>
        <v>0</v>
      </c>
      <c r="T31" s="45" t="str">
        <f aca="false">IF(S31=0,"",IF(SUM(AE31:AN31)=0,"⚠ nobody picked",COUNTIF(AE31:AN31,"&gt;0")&amp;" people"))</f>
        <v/>
      </c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60" t="n">
        <f aca="false">IF(OR($S31=0,Setup!$B$18=""),0,IF(OR($G31="",$G31="Everyone"),1,IF($G31="Custom",N(U31),IF(OR($G31=Setup!$B$18,AND(Setup!$C$18&lt;&gt;"",$G31=Setup!$C$18)),1,0))))</f>
        <v>0</v>
      </c>
      <c r="AF31" s="60" t="n">
        <f aca="false">IF(OR($S31=0,Setup!$B$19=""),0,IF(OR($G31="",$G31="Everyone"),1,IF($G31="Custom",N(V31),IF(OR($G31=Setup!$B$19,AND(Setup!$C$19&lt;&gt;"",$G31=Setup!$C$19)),1,0))))</f>
        <v>0</v>
      </c>
      <c r="AG31" s="60" t="n">
        <f aca="false">IF(OR($S31=0,Setup!$B$20=""),0,IF(OR($G31="",$G31="Everyone"),1,IF($G31="Custom",N(W31),IF(OR($G31=Setup!$B$20,AND(Setup!$C$20&lt;&gt;"",$G31=Setup!$C$20)),1,0))))</f>
        <v>0</v>
      </c>
      <c r="AH31" s="60" t="n">
        <f aca="false">IF(OR($S31=0,Setup!$B$21=""),0,IF(OR($G31="",$G31="Everyone"),1,IF($G31="Custom",N(X31),IF(OR($G31=Setup!$B$21,AND(Setup!$C$21&lt;&gt;"",$G31=Setup!$C$21)),1,0))))</f>
        <v>0</v>
      </c>
      <c r="AI31" s="60" t="n">
        <f aca="false">IF(OR($S31=0,Setup!$B$22=""),0,IF(OR($G31="",$G31="Everyone"),1,IF($G31="Custom",N(Y31),IF(OR($G31=Setup!$B$22,AND(Setup!$C$22&lt;&gt;"",$G31=Setup!$C$22)),1,0))))</f>
        <v>0</v>
      </c>
      <c r="AJ31" s="60" t="n">
        <f aca="false">IF(OR($S31=0,Setup!$B$23=""),0,IF(OR($G31="",$G31="Everyone"),1,IF($G31="Custom",N(Z31),IF(OR($G31=Setup!$B$23,AND(Setup!$C$23&lt;&gt;"",$G31=Setup!$C$23)),1,0))))</f>
        <v>0</v>
      </c>
      <c r="AK31" s="60" t="n">
        <f aca="false">IF(OR($S31=0,Setup!$B$24=""),0,IF(OR($G31="",$G31="Everyone"),1,IF($G31="Custom",N(AA31),IF(OR($G31=Setup!$B$24,AND(Setup!$C$24&lt;&gt;"",$G31=Setup!$C$24)),1,0))))</f>
        <v>0</v>
      </c>
      <c r="AL31" s="60" t="n">
        <f aca="false">IF(OR($S31=0,Setup!$B$25=""),0,IF(OR($G31="",$G31="Everyone"),1,IF($G31="Custom",N(AB31),IF(OR($G31=Setup!$B$25,AND(Setup!$C$25&lt;&gt;"",$G31=Setup!$C$25)),1,0))))</f>
        <v>0</v>
      </c>
      <c r="AM31" s="60" t="n">
        <f aca="false">IF(OR($S31=0,Setup!$B$26=""),0,IF(OR($G31="",$G31="Everyone"),1,IF($G31="Custom",N(AC31),IF(OR($G31=Setup!$B$26,AND(Setup!$C$26&lt;&gt;"",$G31=Setup!$C$26)),1,0))))</f>
        <v>0</v>
      </c>
      <c r="AN31" s="60" t="n">
        <f aca="false">IF(OR($S31=0,Setup!$B$27=""),0,IF(OR($G31="",$G31="Everyone"),1,IF($G31="Custom",N(AD31),IF(OR($G31=Setup!$B$27,AND(Setup!$C$27&lt;&gt;"",$G31=Setup!$C$27)),1,0))))</f>
        <v>0</v>
      </c>
      <c r="AO31" s="60" t="n">
        <f aca="false">IF(SUM(AE31:AN31)=0,1,SUM(AE31:AN31))</f>
        <v>1</v>
      </c>
      <c r="AP31" s="60" t="n">
        <f aca="false">IF(H31="Paid",1,0)</f>
        <v>0</v>
      </c>
      <c r="AQ31" s="60" t="n">
        <f aca="false">IF(AND(S31&gt;0,SUM(AE31:AN31)=0),S31,0)</f>
        <v>0</v>
      </c>
      <c r="AR31" s="60" t="str">
        <f aca="false">IF(AND(N31&lt;&gt;"",TodayDay&lt;&gt;"",N31=TodayDay),COUNTIF($N$6:N31,TodayDay),"")</f>
        <v/>
      </c>
      <c r="AS31" s="60" t="n">
        <f aca="false">IF(B31="",0,IF(COUNTIFS(Settings!$A$5:$A$29,B31,Settings!$B$5:$B$29,"Yes")&gt;0,1,0))</f>
        <v>0</v>
      </c>
      <c r="AT31" s="61" t="n">
        <f aca="false">IF(OR(N31="",TodayDay=""),IF(N31="",S31,0),IF(N31&lt;TodayDay,S31,0))</f>
        <v>0</v>
      </c>
    </row>
    <row r="32" customFormat="false" ht="15" hidden="false" customHeight="false" outlineLevel="0" collapsed="false">
      <c r="A32" s="23"/>
      <c r="B32" s="23"/>
      <c r="C32" s="23"/>
      <c r="D32" s="56"/>
      <c r="E32" s="23"/>
      <c r="F32" s="23"/>
      <c r="G32" s="23"/>
      <c r="H32" s="23"/>
      <c r="I32" s="56"/>
      <c r="J32" s="23"/>
      <c r="K32" s="28"/>
      <c r="L32" s="23"/>
      <c r="M32" s="23"/>
      <c r="N32" s="25" t="str">
        <f aca="false">IF(A32="","",IF(LEFT(A32,3)="Pre",0,IFERROR(VALUE(MID(A32,5,FIND(" ",A32&amp;" ",5)-5)),"")))</f>
        <v/>
      </c>
      <c r="O32" s="57" t="str">
        <f aca="false">IF(N32="","",IF(N32=0,"Before trip",IF(TripStart="","",TripStart+N32-1)))</f>
        <v/>
      </c>
      <c r="P32" s="58" t="str">
        <f aca="false">IF(AND(D32="",I32=""),"",IF(OR(E32="",E32=HomeCcy),1,IFERROR(INDEX(Setup!$J$26:$J$33,MATCH(E32,Setup!$G$26:$G$33,0)),IFERROR(INDEX(Settings!$S$5:$S$64,MATCH(E32,Settings!$R$5:$R$64,0))/HomeINR,1))))</f>
        <v/>
      </c>
      <c r="Q32" s="34" t="str">
        <f aca="false">IF(D32="","",D32*P32)</f>
        <v/>
      </c>
      <c r="R32" s="34" t="str">
        <f aca="false">IF(I32="","",I32*P32)</f>
        <v/>
      </c>
      <c r="S32" s="33" t="n">
        <f aca="false">IF(H32="Cancelled",0,IF(R32&lt;&gt;"",R32,IF(Q32&lt;&gt;"",Q32,0)))</f>
        <v>0</v>
      </c>
      <c r="T32" s="45" t="str">
        <f aca="false">IF(S32=0,"",IF(SUM(AE32:AN32)=0,"⚠ nobody picked",COUNTIF(AE32:AN32,"&gt;0")&amp;" people"))</f>
        <v/>
      </c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60" t="n">
        <f aca="false">IF(OR($S32=0,Setup!$B$18=""),0,IF(OR($G32="",$G32="Everyone"),1,IF($G32="Custom",N(U32),IF(OR($G32=Setup!$B$18,AND(Setup!$C$18&lt;&gt;"",$G32=Setup!$C$18)),1,0))))</f>
        <v>0</v>
      </c>
      <c r="AF32" s="60" t="n">
        <f aca="false">IF(OR($S32=0,Setup!$B$19=""),0,IF(OR($G32="",$G32="Everyone"),1,IF($G32="Custom",N(V32),IF(OR($G32=Setup!$B$19,AND(Setup!$C$19&lt;&gt;"",$G32=Setup!$C$19)),1,0))))</f>
        <v>0</v>
      </c>
      <c r="AG32" s="60" t="n">
        <f aca="false">IF(OR($S32=0,Setup!$B$20=""),0,IF(OR($G32="",$G32="Everyone"),1,IF($G32="Custom",N(W32),IF(OR($G32=Setup!$B$20,AND(Setup!$C$20&lt;&gt;"",$G32=Setup!$C$20)),1,0))))</f>
        <v>0</v>
      </c>
      <c r="AH32" s="60" t="n">
        <f aca="false">IF(OR($S32=0,Setup!$B$21=""),0,IF(OR($G32="",$G32="Everyone"),1,IF($G32="Custom",N(X32),IF(OR($G32=Setup!$B$21,AND(Setup!$C$21&lt;&gt;"",$G32=Setup!$C$21)),1,0))))</f>
        <v>0</v>
      </c>
      <c r="AI32" s="60" t="n">
        <f aca="false">IF(OR($S32=0,Setup!$B$22=""),0,IF(OR($G32="",$G32="Everyone"),1,IF($G32="Custom",N(Y32),IF(OR($G32=Setup!$B$22,AND(Setup!$C$22&lt;&gt;"",$G32=Setup!$C$22)),1,0))))</f>
        <v>0</v>
      </c>
      <c r="AJ32" s="60" t="n">
        <f aca="false">IF(OR($S32=0,Setup!$B$23=""),0,IF(OR($G32="",$G32="Everyone"),1,IF($G32="Custom",N(Z32),IF(OR($G32=Setup!$B$23,AND(Setup!$C$23&lt;&gt;"",$G32=Setup!$C$23)),1,0))))</f>
        <v>0</v>
      </c>
      <c r="AK32" s="60" t="n">
        <f aca="false">IF(OR($S32=0,Setup!$B$24=""),0,IF(OR($G32="",$G32="Everyone"),1,IF($G32="Custom",N(AA32),IF(OR($G32=Setup!$B$24,AND(Setup!$C$24&lt;&gt;"",$G32=Setup!$C$24)),1,0))))</f>
        <v>0</v>
      </c>
      <c r="AL32" s="60" t="n">
        <f aca="false">IF(OR($S32=0,Setup!$B$25=""),0,IF(OR($G32="",$G32="Everyone"),1,IF($G32="Custom",N(AB32),IF(OR($G32=Setup!$B$25,AND(Setup!$C$25&lt;&gt;"",$G32=Setup!$C$25)),1,0))))</f>
        <v>0</v>
      </c>
      <c r="AM32" s="60" t="n">
        <f aca="false">IF(OR($S32=0,Setup!$B$26=""),0,IF(OR($G32="",$G32="Everyone"),1,IF($G32="Custom",N(AC32),IF(OR($G32=Setup!$B$26,AND(Setup!$C$26&lt;&gt;"",$G32=Setup!$C$26)),1,0))))</f>
        <v>0</v>
      </c>
      <c r="AN32" s="60" t="n">
        <f aca="false">IF(OR($S32=0,Setup!$B$27=""),0,IF(OR($G32="",$G32="Everyone"),1,IF($G32="Custom",N(AD32),IF(OR($G32=Setup!$B$27,AND(Setup!$C$27&lt;&gt;"",$G32=Setup!$C$27)),1,0))))</f>
        <v>0</v>
      </c>
      <c r="AO32" s="60" t="n">
        <f aca="false">IF(SUM(AE32:AN32)=0,1,SUM(AE32:AN32))</f>
        <v>1</v>
      </c>
      <c r="AP32" s="60" t="n">
        <f aca="false">IF(H32="Paid",1,0)</f>
        <v>0</v>
      </c>
      <c r="AQ32" s="60" t="n">
        <f aca="false">IF(AND(S32&gt;0,SUM(AE32:AN32)=0),S32,0)</f>
        <v>0</v>
      </c>
      <c r="AR32" s="60" t="str">
        <f aca="false">IF(AND(N32&lt;&gt;"",TodayDay&lt;&gt;"",N32=TodayDay),COUNTIF($N$6:N32,TodayDay),"")</f>
        <v/>
      </c>
      <c r="AS32" s="60" t="n">
        <f aca="false">IF(B32="",0,IF(COUNTIFS(Settings!$A$5:$A$29,B32,Settings!$B$5:$B$29,"Yes")&gt;0,1,0))</f>
        <v>0</v>
      </c>
      <c r="AT32" s="61" t="n">
        <f aca="false">IF(OR(N32="",TodayDay=""),IF(N32="",S32,0),IF(N32&lt;TodayDay,S32,0))</f>
        <v>0</v>
      </c>
    </row>
    <row r="33" customFormat="false" ht="15" hidden="false" customHeight="false" outlineLevel="0" collapsed="false">
      <c r="A33" s="23"/>
      <c r="B33" s="23"/>
      <c r="C33" s="23"/>
      <c r="D33" s="56"/>
      <c r="E33" s="23"/>
      <c r="F33" s="23"/>
      <c r="G33" s="23"/>
      <c r="H33" s="23"/>
      <c r="I33" s="56"/>
      <c r="J33" s="23"/>
      <c r="K33" s="28"/>
      <c r="L33" s="23"/>
      <c r="M33" s="23"/>
      <c r="N33" s="25" t="str">
        <f aca="false">IF(A33="","",IF(LEFT(A33,3)="Pre",0,IFERROR(VALUE(MID(A33,5,FIND(" ",A33&amp;" ",5)-5)),"")))</f>
        <v/>
      </c>
      <c r="O33" s="57" t="str">
        <f aca="false">IF(N33="","",IF(N33=0,"Before trip",IF(TripStart="","",TripStart+N33-1)))</f>
        <v/>
      </c>
      <c r="P33" s="58" t="str">
        <f aca="false">IF(AND(D33="",I33=""),"",IF(OR(E33="",E33=HomeCcy),1,IFERROR(INDEX(Setup!$J$26:$J$33,MATCH(E33,Setup!$G$26:$G$33,0)),IFERROR(INDEX(Settings!$S$5:$S$64,MATCH(E33,Settings!$R$5:$R$64,0))/HomeINR,1))))</f>
        <v/>
      </c>
      <c r="Q33" s="34" t="str">
        <f aca="false">IF(D33="","",D33*P33)</f>
        <v/>
      </c>
      <c r="R33" s="34" t="str">
        <f aca="false">IF(I33="","",I33*P33)</f>
        <v/>
      </c>
      <c r="S33" s="33" t="n">
        <f aca="false">IF(H33="Cancelled",0,IF(R33&lt;&gt;"",R33,IF(Q33&lt;&gt;"",Q33,0)))</f>
        <v>0</v>
      </c>
      <c r="T33" s="45" t="str">
        <f aca="false">IF(S33=0,"",IF(SUM(AE33:AN33)=0,"⚠ nobody picked",COUNTIF(AE33:AN33,"&gt;0")&amp;" people"))</f>
        <v/>
      </c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60" t="n">
        <f aca="false">IF(OR($S33=0,Setup!$B$18=""),0,IF(OR($G33="",$G33="Everyone"),1,IF($G33="Custom",N(U33),IF(OR($G33=Setup!$B$18,AND(Setup!$C$18&lt;&gt;"",$G33=Setup!$C$18)),1,0))))</f>
        <v>0</v>
      </c>
      <c r="AF33" s="60" t="n">
        <f aca="false">IF(OR($S33=0,Setup!$B$19=""),0,IF(OR($G33="",$G33="Everyone"),1,IF($G33="Custom",N(V33),IF(OR($G33=Setup!$B$19,AND(Setup!$C$19&lt;&gt;"",$G33=Setup!$C$19)),1,0))))</f>
        <v>0</v>
      </c>
      <c r="AG33" s="60" t="n">
        <f aca="false">IF(OR($S33=0,Setup!$B$20=""),0,IF(OR($G33="",$G33="Everyone"),1,IF($G33="Custom",N(W33),IF(OR($G33=Setup!$B$20,AND(Setup!$C$20&lt;&gt;"",$G33=Setup!$C$20)),1,0))))</f>
        <v>0</v>
      </c>
      <c r="AH33" s="60" t="n">
        <f aca="false">IF(OR($S33=0,Setup!$B$21=""),0,IF(OR($G33="",$G33="Everyone"),1,IF($G33="Custom",N(X33),IF(OR($G33=Setup!$B$21,AND(Setup!$C$21&lt;&gt;"",$G33=Setup!$C$21)),1,0))))</f>
        <v>0</v>
      </c>
      <c r="AI33" s="60" t="n">
        <f aca="false">IF(OR($S33=0,Setup!$B$22=""),0,IF(OR($G33="",$G33="Everyone"),1,IF($G33="Custom",N(Y33),IF(OR($G33=Setup!$B$22,AND(Setup!$C$22&lt;&gt;"",$G33=Setup!$C$22)),1,0))))</f>
        <v>0</v>
      </c>
      <c r="AJ33" s="60" t="n">
        <f aca="false">IF(OR($S33=0,Setup!$B$23=""),0,IF(OR($G33="",$G33="Everyone"),1,IF($G33="Custom",N(Z33),IF(OR($G33=Setup!$B$23,AND(Setup!$C$23&lt;&gt;"",$G33=Setup!$C$23)),1,0))))</f>
        <v>0</v>
      </c>
      <c r="AK33" s="60" t="n">
        <f aca="false">IF(OR($S33=0,Setup!$B$24=""),0,IF(OR($G33="",$G33="Everyone"),1,IF($G33="Custom",N(AA33),IF(OR($G33=Setup!$B$24,AND(Setup!$C$24&lt;&gt;"",$G33=Setup!$C$24)),1,0))))</f>
        <v>0</v>
      </c>
      <c r="AL33" s="60" t="n">
        <f aca="false">IF(OR($S33=0,Setup!$B$25=""),0,IF(OR($G33="",$G33="Everyone"),1,IF($G33="Custom",N(AB33),IF(OR($G33=Setup!$B$25,AND(Setup!$C$25&lt;&gt;"",$G33=Setup!$C$25)),1,0))))</f>
        <v>0</v>
      </c>
      <c r="AM33" s="60" t="n">
        <f aca="false">IF(OR($S33=0,Setup!$B$26=""),0,IF(OR($G33="",$G33="Everyone"),1,IF($G33="Custom",N(AC33),IF(OR($G33=Setup!$B$26,AND(Setup!$C$26&lt;&gt;"",$G33=Setup!$C$26)),1,0))))</f>
        <v>0</v>
      </c>
      <c r="AN33" s="60" t="n">
        <f aca="false">IF(OR($S33=0,Setup!$B$27=""),0,IF(OR($G33="",$G33="Everyone"),1,IF($G33="Custom",N(AD33),IF(OR($G33=Setup!$B$27,AND(Setup!$C$27&lt;&gt;"",$G33=Setup!$C$27)),1,0))))</f>
        <v>0</v>
      </c>
      <c r="AO33" s="60" t="n">
        <f aca="false">IF(SUM(AE33:AN33)=0,1,SUM(AE33:AN33))</f>
        <v>1</v>
      </c>
      <c r="AP33" s="60" t="n">
        <f aca="false">IF(H33="Paid",1,0)</f>
        <v>0</v>
      </c>
      <c r="AQ33" s="60" t="n">
        <f aca="false">IF(AND(S33&gt;0,SUM(AE33:AN33)=0),S33,0)</f>
        <v>0</v>
      </c>
      <c r="AR33" s="60" t="str">
        <f aca="false">IF(AND(N33&lt;&gt;"",TodayDay&lt;&gt;"",N33=TodayDay),COUNTIF($N$6:N33,TodayDay),"")</f>
        <v/>
      </c>
      <c r="AS33" s="60" t="n">
        <f aca="false">IF(B33="",0,IF(COUNTIFS(Settings!$A$5:$A$29,B33,Settings!$B$5:$B$29,"Yes")&gt;0,1,0))</f>
        <v>0</v>
      </c>
      <c r="AT33" s="61" t="n">
        <f aca="false">IF(OR(N33="",TodayDay=""),IF(N33="",S33,0),IF(N33&lt;TodayDay,S33,0))</f>
        <v>0</v>
      </c>
    </row>
    <row r="34" customFormat="false" ht="15" hidden="false" customHeight="false" outlineLevel="0" collapsed="false">
      <c r="A34" s="23"/>
      <c r="B34" s="23"/>
      <c r="C34" s="23"/>
      <c r="D34" s="56"/>
      <c r="E34" s="23"/>
      <c r="F34" s="23"/>
      <c r="G34" s="23"/>
      <c r="H34" s="23"/>
      <c r="I34" s="56"/>
      <c r="J34" s="23"/>
      <c r="K34" s="28"/>
      <c r="L34" s="23"/>
      <c r="M34" s="23"/>
      <c r="N34" s="25" t="str">
        <f aca="false">IF(A34="","",IF(LEFT(A34,3)="Pre",0,IFERROR(VALUE(MID(A34,5,FIND(" ",A34&amp;" ",5)-5)),"")))</f>
        <v/>
      </c>
      <c r="O34" s="57" t="str">
        <f aca="false">IF(N34="","",IF(N34=0,"Before trip",IF(TripStart="","",TripStart+N34-1)))</f>
        <v/>
      </c>
      <c r="P34" s="58" t="str">
        <f aca="false">IF(AND(D34="",I34=""),"",IF(OR(E34="",E34=HomeCcy),1,IFERROR(INDEX(Setup!$J$26:$J$33,MATCH(E34,Setup!$G$26:$G$33,0)),IFERROR(INDEX(Settings!$S$5:$S$64,MATCH(E34,Settings!$R$5:$R$64,0))/HomeINR,1))))</f>
        <v/>
      </c>
      <c r="Q34" s="34" t="str">
        <f aca="false">IF(D34="","",D34*P34)</f>
        <v/>
      </c>
      <c r="R34" s="34" t="str">
        <f aca="false">IF(I34="","",I34*P34)</f>
        <v/>
      </c>
      <c r="S34" s="33" t="n">
        <f aca="false">IF(H34="Cancelled",0,IF(R34&lt;&gt;"",R34,IF(Q34&lt;&gt;"",Q34,0)))</f>
        <v>0</v>
      </c>
      <c r="T34" s="45" t="str">
        <f aca="false">IF(S34=0,"",IF(SUM(AE34:AN34)=0,"⚠ nobody picked",COUNTIF(AE34:AN34,"&gt;0")&amp;" people"))</f>
        <v/>
      </c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60" t="n">
        <f aca="false">IF(OR($S34=0,Setup!$B$18=""),0,IF(OR($G34="",$G34="Everyone"),1,IF($G34="Custom",N(U34),IF(OR($G34=Setup!$B$18,AND(Setup!$C$18&lt;&gt;"",$G34=Setup!$C$18)),1,0))))</f>
        <v>0</v>
      </c>
      <c r="AF34" s="60" t="n">
        <f aca="false">IF(OR($S34=0,Setup!$B$19=""),0,IF(OR($G34="",$G34="Everyone"),1,IF($G34="Custom",N(V34),IF(OR($G34=Setup!$B$19,AND(Setup!$C$19&lt;&gt;"",$G34=Setup!$C$19)),1,0))))</f>
        <v>0</v>
      </c>
      <c r="AG34" s="60" t="n">
        <f aca="false">IF(OR($S34=0,Setup!$B$20=""),0,IF(OR($G34="",$G34="Everyone"),1,IF($G34="Custom",N(W34),IF(OR($G34=Setup!$B$20,AND(Setup!$C$20&lt;&gt;"",$G34=Setup!$C$20)),1,0))))</f>
        <v>0</v>
      </c>
      <c r="AH34" s="60" t="n">
        <f aca="false">IF(OR($S34=0,Setup!$B$21=""),0,IF(OR($G34="",$G34="Everyone"),1,IF($G34="Custom",N(X34),IF(OR($G34=Setup!$B$21,AND(Setup!$C$21&lt;&gt;"",$G34=Setup!$C$21)),1,0))))</f>
        <v>0</v>
      </c>
      <c r="AI34" s="60" t="n">
        <f aca="false">IF(OR($S34=0,Setup!$B$22=""),0,IF(OR($G34="",$G34="Everyone"),1,IF($G34="Custom",N(Y34),IF(OR($G34=Setup!$B$22,AND(Setup!$C$22&lt;&gt;"",$G34=Setup!$C$22)),1,0))))</f>
        <v>0</v>
      </c>
      <c r="AJ34" s="60" t="n">
        <f aca="false">IF(OR($S34=0,Setup!$B$23=""),0,IF(OR($G34="",$G34="Everyone"),1,IF($G34="Custom",N(Z34),IF(OR($G34=Setup!$B$23,AND(Setup!$C$23&lt;&gt;"",$G34=Setup!$C$23)),1,0))))</f>
        <v>0</v>
      </c>
      <c r="AK34" s="60" t="n">
        <f aca="false">IF(OR($S34=0,Setup!$B$24=""),0,IF(OR($G34="",$G34="Everyone"),1,IF($G34="Custom",N(AA34),IF(OR($G34=Setup!$B$24,AND(Setup!$C$24&lt;&gt;"",$G34=Setup!$C$24)),1,0))))</f>
        <v>0</v>
      </c>
      <c r="AL34" s="60" t="n">
        <f aca="false">IF(OR($S34=0,Setup!$B$25=""),0,IF(OR($G34="",$G34="Everyone"),1,IF($G34="Custom",N(AB34),IF(OR($G34=Setup!$B$25,AND(Setup!$C$25&lt;&gt;"",$G34=Setup!$C$25)),1,0))))</f>
        <v>0</v>
      </c>
      <c r="AM34" s="60" t="n">
        <f aca="false">IF(OR($S34=0,Setup!$B$26=""),0,IF(OR($G34="",$G34="Everyone"),1,IF($G34="Custom",N(AC34),IF(OR($G34=Setup!$B$26,AND(Setup!$C$26&lt;&gt;"",$G34=Setup!$C$26)),1,0))))</f>
        <v>0</v>
      </c>
      <c r="AN34" s="60" t="n">
        <f aca="false">IF(OR($S34=0,Setup!$B$27=""),0,IF(OR($G34="",$G34="Everyone"),1,IF($G34="Custom",N(AD34),IF(OR($G34=Setup!$B$27,AND(Setup!$C$27&lt;&gt;"",$G34=Setup!$C$27)),1,0))))</f>
        <v>0</v>
      </c>
      <c r="AO34" s="60" t="n">
        <f aca="false">IF(SUM(AE34:AN34)=0,1,SUM(AE34:AN34))</f>
        <v>1</v>
      </c>
      <c r="AP34" s="60" t="n">
        <f aca="false">IF(H34="Paid",1,0)</f>
        <v>0</v>
      </c>
      <c r="AQ34" s="60" t="n">
        <f aca="false">IF(AND(S34&gt;0,SUM(AE34:AN34)=0),S34,0)</f>
        <v>0</v>
      </c>
      <c r="AR34" s="60" t="str">
        <f aca="false">IF(AND(N34&lt;&gt;"",TodayDay&lt;&gt;"",N34=TodayDay),COUNTIF($N$6:N34,TodayDay),"")</f>
        <v/>
      </c>
      <c r="AS34" s="60" t="n">
        <f aca="false">IF(B34="",0,IF(COUNTIFS(Settings!$A$5:$A$29,B34,Settings!$B$5:$B$29,"Yes")&gt;0,1,0))</f>
        <v>0</v>
      </c>
      <c r="AT34" s="61" t="n">
        <f aca="false">IF(OR(N34="",TodayDay=""),IF(N34="",S34,0),IF(N34&lt;TodayDay,S34,0))</f>
        <v>0</v>
      </c>
    </row>
    <row r="35" customFormat="false" ht="15" hidden="false" customHeight="false" outlineLevel="0" collapsed="false">
      <c r="A35" s="23"/>
      <c r="B35" s="23"/>
      <c r="C35" s="23"/>
      <c r="D35" s="56"/>
      <c r="E35" s="23"/>
      <c r="F35" s="23"/>
      <c r="G35" s="23"/>
      <c r="H35" s="23"/>
      <c r="I35" s="56"/>
      <c r="J35" s="23"/>
      <c r="K35" s="28"/>
      <c r="L35" s="23"/>
      <c r="M35" s="23"/>
      <c r="N35" s="25" t="str">
        <f aca="false">IF(A35="","",IF(LEFT(A35,3)="Pre",0,IFERROR(VALUE(MID(A35,5,FIND(" ",A35&amp;" ",5)-5)),"")))</f>
        <v/>
      </c>
      <c r="O35" s="57" t="str">
        <f aca="false">IF(N35="","",IF(N35=0,"Before trip",IF(TripStart="","",TripStart+N35-1)))</f>
        <v/>
      </c>
      <c r="P35" s="58" t="str">
        <f aca="false">IF(AND(D35="",I35=""),"",IF(OR(E35="",E35=HomeCcy),1,IFERROR(INDEX(Setup!$J$26:$J$33,MATCH(E35,Setup!$G$26:$G$33,0)),IFERROR(INDEX(Settings!$S$5:$S$64,MATCH(E35,Settings!$R$5:$R$64,0))/HomeINR,1))))</f>
        <v/>
      </c>
      <c r="Q35" s="34" t="str">
        <f aca="false">IF(D35="","",D35*P35)</f>
        <v/>
      </c>
      <c r="R35" s="34" t="str">
        <f aca="false">IF(I35="","",I35*P35)</f>
        <v/>
      </c>
      <c r="S35" s="33" t="n">
        <f aca="false">IF(H35="Cancelled",0,IF(R35&lt;&gt;"",R35,IF(Q35&lt;&gt;"",Q35,0)))</f>
        <v>0</v>
      </c>
      <c r="T35" s="45" t="str">
        <f aca="false">IF(S35=0,"",IF(SUM(AE35:AN35)=0,"⚠ nobody picked",COUNTIF(AE35:AN35,"&gt;0")&amp;" people"))</f>
        <v/>
      </c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60" t="n">
        <f aca="false">IF(OR($S35=0,Setup!$B$18=""),0,IF(OR($G35="",$G35="Everyone"),1,IF($G35="Custom",N(U35),IF(OR($G35=Setup!$B$18,AND(Setup!$C$18&lt;&gt;"",$G35=Setup!$C$18)),1,0))))</f>
        <v>0</v>
      </c>
      <c r="AF35" s="60" t="n">
        <f aca="false">IF(OR($S35=0,Setup!$B$19=""),0,IF(OR($G35="",$G35="Everyone"),1,IF($G35="Custom",N(V35),IF(OR($G35=Setup!$B$19,AND(Setup!$C$19&lt;&gt;"",$G35=Setup!$C$19)),1,0))))</f>
        <v>0</v>
      </c>
      <c r="AG35" s="60" t="n">
        <f aca="false">IF(OR($S35=0,Setup!$B$20=""),0,IF(OR($G35="",$G35="Everyone"),1,IF($G35="Custom",N(W35),IF(OR($G35=Setup!$B$20,AND(Setup!$C$20&lt;&gt;"",$G35=Setup!$C$20)),1,0))))</f>
        <v>0</v>
      </c>
      <c r="AH35" s="60" t="n">
        <f aca="false">IF(OR($S35=0,Setup!$B$21=""),0,IF(OR($G35="",$G35="Everyone"),1,IF($G35="Custom",N(X35),IF(OR($G35=Setup!$B$21,AND(Setup!$C$21&lt;&gt;"",$G35=Setup!$C$21)),1,0))))</f>
        <v>0</v>
      </c>
      <c r="AI35" s="60" t="n">
        <f aca="false">IF(OR($S35=0,Setup!$B$22=""),0,IF(OR($G35="",$G35="Everyone"),1,IF($G35="Custom",N(Y35),IF(OR($G35=Setup!$B$22,AND(Setup!$C$22&lt;&gt;"",$G35=Setup!$C$22)),1,0))))</f>
        <v>0</v>
      </c>
      <c r="AJ35" s="60" t="n">
        <f aca="false">IF(OR($S35=0,Setup!$B$23=""),0,IF(OR($G35="",$G35="Everyone"),1,IF($G35="Custom",N(Z35),IF(OR($G35=Setup!$B$23,AND(Setup!$C$23&lt;&gt;"",$G35=Setup!$C$23)),1,0))))</f>
        <v>0</v>
      </c>
      <c r="AK35" s="60" t="n">
        <f aca="false">IF(OR($S35=0,Setup!$B$24=""),0,IF(OR($G35="",$G35="Everyone"),1,IF($G35="Custom",N(AA35),IF(OR($G35=Setup!$B$24,AND(Setup!$C$24&lt;&gt;"",$G35=Setup!$C$24)),1,0))))</f>
        <v>0</v>
      </c>
      <c r="AL35" s="60" t="n">
        <f aca="false">IF(OR($S35=0,Setup!$B$25=""),0,IF(OR($G35="",$G35="Everyone"),1,IF($G35="Custom",N(AB35),IF(OR($G35=Setup!$B$25,AND(Setup!$C$25&lt;&gt;"",$G35=Setup!$C$25)),1,0))))</f>
        <v>0</v>
      </c>
      <c r="AM35" s="60" t="n">
        <f aca="false">IF(OR($S35=0,Setup!$B$26=""),0,IF(OR($G35="",$G35="Everyone"),1,IF($G35="Custom",N(AC35),IF(OR($G35=Setup!$B$26,AND(Setup!$C$26&lt;&gt;"",$G35=Setup!$C$26)),1,0))))</f>
        <v>0</v>
      </c>
      <c r="AN35" s="60" t="n">
        <f aca="false">IF(OR($S35=0,Setup!$B$27=""),0,IF(OR($G35="",$G35="Everyone"),1,IF($G35="Custom",N(AD35),IF(OR($G35=Setup!$B$27,AND(Setup!$C$27&lt;&gt;"",$G35=Setup!$C$27)),1,0))))</f>
        <v>0</v>
      </c>
      <c r="AO35" s="60" t="n">
        <f aca="false">IF(SUM(AE35:AN35)=0,1,SUM(AE35:AN35))</f>
        <v>1</v>
      </c>
      <c r="AP35" s="60" t="n">
        <f aca="false">IF(H35="Paid",1,0)</f>
        <v>0</v>
      </c>
      <c r="AQ35" s="60" t="n">
        <f aca="false">IF(AND(S35&gt;0,SUM(AE35:AN35)=0),S35,0)</f>
        <v>0</v>
      </c>
      <c r="AR35" s="60" t="str">
        <f aca="false">IF(AND(N35&lt;&gt;"",TodayDay&lt;&gt;"",N35=TodayDay),COUNTIF($N$6:N35,TodayDay),"")</f>
        <v/>
      </c>
      <c r="AS35" s="60" t="n">
        <f aca="false">IF(B35="",0,IF(COUNTIFS(Settings!$A$5:$A$29,B35,Settings!$B$5:$B$29,"Yes")&gt;0,1,0))</f>
        <v>0</v>
      </c>
      <c r="AT35" s="61" t="n">
        <f aca="false">IF(OR(N35="",TodayDay=""),IF(N35="",S35,0),IF(N35&lt;TodayDay,S35,0))</f>
        <v>0</v>
      </c>
    </row>
    <row r="36" customFormat="false" ht="15" hidden="false" customHeight="false" outlineLevel="0" collapsed="false">
      <c r="A36" s="23"/>
      <c r="B36" s="23"/>
      <c r="C36" s="23"/>
      <c r="D36" s="56"/>
      <c r="E36" s="23"/>
      <c r="F36" s="23"/>
      <c r="G36" s="23"/>
      <c r="H36" s="23"/>
      <c r="I36" s="56"/>
      <c r="J36" s="23"/>
      <c r="K36" s="28"/>
      <c r="L36" s="23"/>
      <c r="M36" s="23"/>
      <c r="N36" s="25" t="str">
        <f aca="false">IF(A36="","",IF(LEFT(A36,3)="Pre",0,IFERROR(VALUE(MID(A36,5,FIND(" ",A36&amp;" ",5)-5)),"")))</f>
        <v/>
      </c>
      <c r="O36" s="57" t="str">
        <f aca="false">IF(N36="","",IF(N36=0,"Before trip",IF(TripStart="","",TripStart+N36-1)))</f>
        <v/>
      </c>
      <c r="P36" s="58" t="str">
        <f aca="false">IF(AND(D36="",I36=""),"",IF(OR(E36="",E36=HomeCcy),1,IFERROR(INDEX(Setup!$J$26:$J$33,MATCH(E36,Setup!$G$26:$G$33,0)),IFERROR(INDEX(Settings!$S$5:$S$64,MATCH(E36,Settings!$R$5:$R$64,0))/HomeINR,1))))</f>
        <v/>
      </c>
      <c r="Q36" s="34" t="str">
        <f aca="false">IF(D36="","",D36*P36)</f>
        <v/>
      </c>
      <c r="R36" s="34" t="str">
        <f aca="false">IF(I36="","",I36*P36)</f>
        <v/>
      </c>
      <c r="S36" s="33" t="n">
        <f aca="false">IF(H36="Cancelled",0,IF(R36&lt;&gt;"",R36,IF(Q36&lt;&gt;"",Q36,0)))</f>
        <v>0</v>
      </c>
      <c r="T36" s="45" t="str">
        <f aca="false">IF(S36=0,"",IF(SUM(AE36:AN36)=0,"⚠ nobody picked",COUNTIF(AE36:AN36,"&gt;0")&amp;" people"))</f>
        <v/>
      </c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60" t="n">
        <f aca="false">IF(OR($S36=0,Setup!$B$18=""),0,IF(OR($G36="",$G36="Everyone"),1,IF($G36="Custom",N(U36),IF(OR($G36=Setup!$B$18,AND(Setup!$C$18&lt;&gt;"",$G36=Setup!$C$18)),1,0))))</f>
        <v>0</v>
      </c>
      <c r="AF36" s="60" t="n">
        <f aca="false">IF(OR($S36=0,Setup!$B$19=""),0,IF(OR($G36="",$G36="Everyone"),1,IF($G36="Custom",N(V36),IF(OR($G36=Setup!$B$19,AND(Setup!$C$19&lt;&gt;"",$G36=Setup!$C$19)),1,0))))</f>
        <v>0</v>
      </c>
      <c r="AG36" s="60" t="n">
        <f aca="false">IF(OR($S36=0,Setup!$B$20=""),0,IF(OR($G36="",$G36="Everyone"),1,IF($G36="Custom",N(W36),IF(OR($G36=Setup!$B$20,AND(Setup!$C$20&lt;&gt;"",$G36=Setup!$C$20)),1,0))))</f>
        <v>0</v>
      </c>
      <c r="AH36" s="60" t="n">
        <f aca="false">IF(OR($S36=0,Setup!$B$21=""),0,IF(OR($G36="",$G36="Everyone"),1,IF($G36="Custom",N(X36),IF(OR($G36=Setup!$B$21,AND(Setup!$C$21&lt;&gt;"",$G36=Setup!$C$21)),1,0))))</f>
        <v>0</v>
      </c>
      <c r="AI36" s="60" t="n">
        <f aca="false">IF(OR($S36=0,Setup!$B$22=""),0,IF(OR($G36="",$G36="Everyone"),1,IF($G36="Custom",N(Y36),IF(OR($G36=Setup!$B$22,AND(Setup!$C$22&lt;&gt;"",$G36=Setup!$C$22)),1,0))))</f>
        <v>0</v>
      </c>
      <c r="AJ36" s="60" t="n">
        <f aca="false">IF(OR($S36=0,Setup!$B$23=""),0,IF(OR($G36="",$G36="Everyone"),1,IF($G36="Custom",N(Z36),IF(OR($G36=Setup!$B$23,AND(Setup!$C$23&lt;&gt;"",$G36=Setup!$C$23)),1,0))))</f>
        <v>0</v>
      </c>
      <c r="AK36" s="60" t="n">
        <f aca="false">IF(OR($S36=0,Setup!$B$24=""),0,IF(OR($G36="",$G36="Everyone"),1,IF($G36="Custom",N(AA36),IF(OR($G36=Setup!$B$24,AND(Setup!$C$24&lt;&gt;"",$G36=Setup!$C$24)),1,0))))</f>
        <v>0</v>
      </c>
      <c r="AL36" s="60" t="n">
        <f aca="false">IF(OR($S36=0,Setup!$B$25=""),0,IF(OR($G36="",$G36="Everyone"),1,IF($G36="Custom",N(AB36),IF(OR($G36=Setup!$B$25,AND(Setup!$C$25&lt;&gt;"",$G36=Setup!$C$25)),1,0))))</f>
        <v>0</v>
      </c>
      <c r="AM36" s="60" t="n">
        <f aca="false">IF(OR($S36=0,Setup!$B$26=""),0,IF(OR($G36="",$G36="Everyone"),1,IF($G36="Custom",N(AC36),IF(OR($G36=Setup!$B$26,AND(Setup!$C$26&lt;&gt;"",$G36=Setup!$C$26)),1,0))))</f>
        <v>0</v>
      </c>
      <c r="AN36" s="60" t="n">
        <f aca="false">IF(OR($S36=0,Setup!$B$27=""),0,IF(OR($G36="",$G36="Everyone"),1,IF($G36="Custom",N(AD36),IF(OR($G36=Setup!$B$27,AND(Setup!$C$27&lt;&gt;"",$G36=Setup!$C$27)),1,0))))</f>
        <v>0</v>
      </c>
      <c r="AO36" s="60" t="n">
        <f aca="false">IF(SUM(AE36:AN36)=0,1,SUM(AE36:AN36))</f>
        <v>1</v>
      </c>
      <c r="AP36" s="60" t="n">
        <f aca="false">IF(H36="Paid",1,0)</f>
        <v>0</v>
      </c>
      <c r="AQ36" s="60" t="n">
        <f aca="false">IF(AND(S36&gt;0,SUM(AE36:AN36)=0),S36,0)</f>
        <v>0</v>
      </c>
      <c r="AR36" s="60" t="str">
        <f aca="false">IF(AND(N36&lt;&gt;"",TodayDay&lt;&gt;"",N36=TodayDay),COUNTIF($N$6:N36,TodayDay),"")</f>
        <v/>
      </c>
      <c r="AS36" s="60" t="n">
        <f aca="false">IF(B36="",0,IF(COUNTIFS(Settings!$A$5:$A$29,B36,Settings!$B$5:$B$29,"Yes")&gt;0,1,0))</f>
        <v>0</v>
      </c>
      <c r="AT36" s="61" t="n">
        <f aca="false">IF(OR(N36="",TodayDay=""),IF(N36="",S36,0),IF(N36&lt;TodayDay,S36,0))</f>
        <v>0</v>
      </c>
    </row>
    <row r="37" customFormat="false" ht="15" hidden="false" customHeight="false" outlineLevel="0" collapsed="false">
      <c r="A37" s="23"/>
      <c r="B37" s="23"/>
      <c r="C37" s="23"/>
      <c r="D37" s="56"/>
      <c r="E37" s="23"/>
      <c r="F37" s="23"/>
      <c r="G37" s="23"/>
      <c r="H37" s="23"/>
      <c r="I37" s="56"/>
      <c r="J37" s="23"/>
      <c r="K37" s="28"/>
      <c r="L37" s="23"/>
      <c r="M37" s="23"/>
      <c r="N37" s="25" t="str">
        <f aca="false">IF(A37="","",IF(LEFT(A37,3)="Pre",0,IFERROR(VALUE(MID(A37,5,FIND(" ",A37&amp;" ",5)-5)),"")))</f>
        <v/>
      </c>
      <c r="O37" s="57" t="str">
        <f aca="false">IF(N37="","",IF(N37=0,"Before trip",IF(TripStart="","",TripStart+N37-1)))</f>
        <v/>
      </c>
      <c r="P37" s="58" t="str">
        <f aca="false">IF(AND(D37="",I37=""),"",IF(OR(E37="",E37=HomeCcy),1,IFERROR(INDEX(Setup!$J$26:$J$33,MATCH(E37,Setup!$G$26:$G$33,0)),IFERROR(INDEX(Settings!$S$5:$S$64,MATCH(E37,Settings!$R$5:$R$64,0))/HomeINR,1))))</f>
        <v/>
      </c>
      <c r="Q37" s="34" t="str">
        <f aca="false">IF(D37="","",D37*P37)</f>
        <v/>
      </c>
      <c r="R37" s="34" t="str">
        <f aca="false">IF(I37="","",I37*P37)</f>
        <v/>
      </c>
      <c r="S37" s="33" t="n">
        <f aca="false">IF(H37="Cancelled",0,IF(R37&lt;&gt;"",R37,IF(Q37&lt;&gt;"",Q37,0)))</f>
        <v>0</v>
      </c>
      <c r="T37" s="45" t="str">
        <f aca="false">IF(S37=0,"",IF(SUM(AE37:AN37)=0,"⚠ nobody picked",COUNTIF(AE37:AN37,"&gt;0")&amp;" people"))</f>
        <v/>
      </c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60" t="n">
        <f aca="false">IF(OR($S37=0,Setup!$B$18=""),0,IF(OR($G37="",$G37="Everyone"),1,IF($G37="Custom",N(U37),IF(OR($G37=Setup!$B$18,AND(Setup!$C$18&lt;&gt;"",$G37=Setup!$C$18)),1,0))))</f>
        <v>0</v>
      </c>
      <c r="AF37" s="60" t="n">
        <f aca="false">IF(OR($S37=0,Setup!$B$19=""),0,IF(OR($G37="",$G37="Everyone"),1,IF($G37="Custom",N(V37),IF(OR($G37=Setup!$B$19,AND(Setup!$C$19&lt;&gt;"",$G37=Setup!$C$19)),1,0))))</f>
        <v>0</v>
      </c>
      <c r="AG37" s="60" t="n">
        <f aca="false">IF(OR($S37=0,Setup!$B$20=""),0,IF(OR($G37="",$G37="Everyone"),1,IF($G37="Custom",N(W37),IF(OR($G37=Setup!$B$20,AND(Setup!$C$20&lt;&gt;"",$G37=Setup!$C$20)),1,0))))</f>
        <v>0</v>
      </c>
      <c r="AH37" s="60" t="n">
        <f aca="false">IF(OR($S37=0,Setup!$B$21=""),0,IF(OR($G37="",$G37="Everyone"),1,IF($G37="Custom",N(X37),IF(OR($G37=Setup!$B$21,AND(Setup!$C$21&lt;&gt;"",$G37=Setup!$C$21)),1,0))))</f>
        <v>0</v>
      </c>
      <c r="AI37" s="60" t="n">
        <f aca="false">IF(OR($S37=0,Setup!$B$22=""),0,IF(OR($G37="",$G37="Everyone"),1,IF($G37="Custom",N(Y37),IF(OR($G37=Setup!$B$22,AND(Setup!$C$22&lt;&gt;"",$G37=Setup!$C$22)),1,0))))</f>
        <v>0</v>
      </c>
      <c r="AJ37" s="60" t="n">
        <f aca="false">IF(OR($S37=0,Setup!$B$23=""),0,IF(OR($G37="",$G37="Everyone"),1,IF($G37="Custom",N(Z37),IF(OR($G37=Setup!$B$23,AND(Setup!$C$23&lt;&gt;"",$G37=Setup!$C$23)),1,0))))</f>
        <v>0</v>
      </c>
      <c r="AK37" s="60" t="n">
        <f aca="false">IF(OR($S37=0,Setup!$B$24=""),0,IF(OR($G37="",$G37="Everyone"),1,IF($G37="Custom",N(AA37),IF(OR($G37=Setup!$B$24,AND(Setup!$C$24&lt;&gt;"",$G37=Setup!$C$24)),1,0))))</f>
        <v>0</v>
      </c>
      <c r="AL37" s="60" t="n">
        <f aca="false">IF(OR($S37=0,Setup!$B$25=""),0,IF(OR($G37="",$G37="Everyone"),1,IF($G37="Custom",N(AB37),IF(OR($G37=Setup!$B$25,AND(Setup!$C$25&lt;&gt;"",$G37=Setup!$C$25)),1,0))))</f>
        <v>0</v>
      </c>
      <c r="AM37" s="60" t="n">
        <f aca="false">IF(OR($S37=0,Setup!$B$26=""),0,IF(OR($G37="",$G37="Everyone"),1,IF($G37="Custom",N(AC37),IF(OR($G37=Setup!$B$26,AND(Setup!$C$26&lt;&gt;"",$G37=Setup!$C$26)),1,0))))</f>
        <v>0</v>
      </c>
      <c r="AN37" s="60" t="n">
        <f aca="false">IF(OR($S37=0,Setup!$B$27=""),0,IF(OR($G37="",$G37="Everyone"),1,IF($G37="Custom",N(AD37),IF(OR($G37=Setup!$B$27,AND(Setup!$C$27&lt;&gt;"",$G37=Setup!$C$27)),1,0))))</f>
        <v>0</v>
      </c>
      <c r="AO37" s="60" t="n">
        <f aca="false">IF(SUM(AE37:AN37)=0,1,SUM(AE37:AN37))</f>
        <v>1</v>
      </c>
      <c r="AP37" s="60" t="n">
        <f aca="false">IF(H37="Paid",1,0)</f>
        <v>0</v>
      </c>
      <c r="AQ37" s="60" t="n">
        <f aca="false">IF(AND(S37&gt;0,SUM(AE37:AN37)=0),S37,0)</f>
        <v>0</v>
      </c>
      <c r="AR37" s="60" t="str">
        <f aca="false">IF(AND(N37&lt;&gt;"",TodayDay&lt;&gt;"",N37=TodayDay),COUNTIF($N$6:N37,TodayDay),"")</f>
        <v/>
      </c>
      <c r="AS37" s="60" t="n">
        <f aca="false">IF(B37="",0,IF(COUNTIFS(Settings!$A$5:$A$29,B37,Settings!$B$5:$B$29,"Yes")&gt;0,1,0))</f>
        <v>0</v>
      </c>
      <c r="AT37" s="61" t="n">
        <f aca="false">IF(OR(N37="",TodayDay=""),IF(N37="",S37,0),IF(N37&lt;TodayDay,S37,0))</f>
        <v>0</v>
      </c>
    </row>
    <row r="38" customFormat="false" ht="15" hidden="false" customHeight="false" outlineLevel="0" collapsed="false">
      <c r="A38" s="23"/>
      <c r="B38" s="23"/>
      <c r="C38" s="23"/>
      <c r="D38" s="56"/>
      <c r="E38" s="23"/>
      <c r="F38" s="23"/>
      <c r="G38" s="23"/>
      <c r="H38" s="23"/>
      <c r="I38" s="56"/>
      <c r="J38" s="23"/>
      <c r="K38" s="28"/>
      <c r="L38" s="23"/>
      <c r="M38" s="23"/>
      <c r="N38" s="25" t="str">
        <f aca="false">IF(A38="","",IF(LEFT(A38,3)="Pre",0,IFERROR(VALUE(MID(A38,5,FIND(" ",A38&amp;" ",5)-5)),"")))</f>
        <v/>
      </c>
      <c r="O38" s="57" t="str">
        <f aca="false">IF(N38="","",IF(N38=0,"Before trip",IF(TripStart="","",TripStart+N38-1)))</f>
        <v/>
      </c>
      <c r="P38" s="58" t="str">
        <f aca="false">IF(AND(D38="",I38=""),"",IF(OR(E38="",E38=HomeCcy),1,IFERROR(INDEX(Setup!$J$26:$J$33,MATCH(E38,Setup!$G$26:$G$33,0)),IFERROR(INDEX(Settings!$S$5:$S$64,MATCH(E38,Settings!$R$5:$R$64,0))/HomeINR,1))))</f>
        <v/>
      </c>
      <c r="Q38" s="34" t="str">
        <f aca="false">IF(D38="","",D38*P38)</f>
        <v/>
      </c>
      <c r="R38" s="34" t="str">
        <f aca="false">IF(I38="","",I38*P38)</f>
        <v/>
      </c>
      <c r="S38" s="33" t="n">
        <f aca="false">IF(H38="Cancelled",0,IF(R38&lt;&gt;"",R38,IF(Q38&lt;&gt;"",Q38,0)))</f>
        <v>0</v>
      </c>
      <c r="T38" s="45" t="str">
        <f aca="false">IF(S38=0,"",IF(SUM(AE38:AN38)=0,"⚠ nobody picked",COUNTIF(AE38:AN38,"&gt;0")&amp;" people"))</f>
        <v/>
      </c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60" t="n">
        <f aca="false">IF(OR($S38=0,Setup!$B$18=""),0,IF(OR($G38="",$G38="Everyone"),1,IF($G38="Custom",N(U38),IF(OR($G38=Setup!$B$18,AND(Setup!$C$18&lt;&gt;"",$G38=Setup!$C$18)),1,0))))</f>
        <v>0</v>
      </c>
      <c r="AF38" s="60" t="n">
        <f aca="false">IF(OR($S38=0,Setup!$B$19=""),0,IF(OR($G38="",$G38="Everyone"),1,IF($G38="Custom",N(V38),IF(OR($G38=Setup!$B$19,AND(Setup!$C$19&lt;&gt;"",$G38=Setup!$C$19)),1,0))))</f>
        <v>0</v>
      </c>
      <c r="AG38" s="60" t="n">
        <f aca="false">IF(OR($S38=0,Setup!$B$20=""),0,IF(OR($G38="",$G38="Everyone"),1,IF($G38="Custom",N(W38),IF(OR($G38=Setup!$B$20,AND(Setup!$C$20&lt;&gt;"",$G38=Setup!$C$20)),1,0))))</f>
        <v>0</v>
      </c>
      <c r="AH38" s="60" t="n">
        <f aca="false">IF(OR($S38=0,Setup!$B$21=""),0,IF(OR($G38="",$G38="Everyone"),1,IF($G38="Custom",N(X38),IF(OR($G38=Setup!$B$21,AND(Setup!$C$21&lt;&gt;"",$G38=Setup!$C$21)),1,0))))</f>
        <v>0</v>
      </c>
      <c r="AI38" s="60" t="n">
        <f aca="false">IF(OR($S38=0,Setup!$B$22=""),0,IF(OR($G38="",$G38="Everyone"),1,IF($G38="Custom",N(Y38),IF(OR($G38=Setup!$B$22,AND(Setup!$C$22&lt;&gt;"",$G38=Setup!$C$22)),1,0))))</f>
        <v>0</v>
      </c>
      <c r="AJ38" s="60" t="n">
        <f aca="false">IF(OR($S38=0,Setup!$B$23=""),0,IF(OR($G38="",$G38="Everyone"),1,IF($G38="Custom",N(Z38),IF(OR($G38=Setup!$B$23,AND(Setup!$C$23&lt;&gt;"",$G38=Setup!$C$23)),1,0))))</f>
        <v>0</v>
      </c>
      <c r="AK38" s="60" t="n">
        <f aca="false">IF(OR($S38=0,Setup!$B$24=""),0,IF(OR($G38="",$G38="Everyone"),1,IF($G38="Custom",N(AA38),IF(OR($G38=Setup!$B$24,AND(Setup!$C$24&lt;&gt;"",$G38=Setup!$C$24)),1,0))))</f>
        <v>0</v>
      </c>
      <c r="AL38" s="60" t="n">
        <f aca="false">IF(OR($S38=0,Setup!$B$25=""),0,IF(OR($G38="",$G38="Everyone"),1,IF($G38="Custom",N(AB38),IF(OR($G38=Setup!$B$25,AND(Setup!$C$25&lt;&gt;"",$G38=Setup!$C$25)),1,0))))</f>
        <v>0</v>
      </c>
      <c r="AM38" s="60" t="n">
        <f aca="false">IF(OR($S38=0,Setup!$B$26=""),0,IF(OR($G38="",$G38="Everyone"),1,IF($G38="Custom",N(AC38),IF(OR($G38=Setup!$B$26,AND(Setup!$C$26&lt;&gt;"",$G38=Setup!$C$26)),1,0))))</f>
        <v>0</v>
      </c>
      <c r="AN38" s="60" t="n">
        <f aca="false">IF(OR($S38=0,Setup!$B$27=""),0,IF(OR($G38="",$G38="Everyone"),1,IF($G38="Custom",N(AD38),IF(OR($G38=Setup!$B$27,AND(Setup!$C$27&lt;&gt;"",$G38=Setup!$C$27)),1,0))))</f>
        <v>0</v>
      </c>
      <c r="AO38" s="60" t="n">
        <f aca="false">IF(SUM(AE38:AN38)=0,1,SUM(AE38:AN38))</f>
        <v>1</v>
      </c>
      <c r="AP38" s="60" t="n">
        <f aca="false">IF(H38="Paid",1,0)</f>
        <v>0</v>
      </c>
      <c r="AQ38" s="60" t="n">
        <f aca="false">IF(AND(S38&gt;0,SUM(AE38:AN38)=0),S38,0)</f>
        <v>0</v>
      </c>
      <c r="AR38" s="60" t="str">
        <f aca="false">IF(AND(N38&lt;&gt;"",TodayDay&lt;&gt;"",N38=TodayDay),COUNTIF($N$6:N38,TodayDay),"")</f>
        <v/>
      </c>
      <c r="AS38" s="60" t="n">
        <f aca="false">IF(B38="",0,IF(COUNTIFS(Settings!$A$5:$A$29,B38,Settings!$B$5:$B$29,"Yes")&gt;0,1,0))</f>
        <v>0</v>
      </c>
      <c r="AT38" s="61" t="n">
        <f aca="false">IF(OR(N38="",TodayDay=""),IF(N38="",S38,0),IF(N38&lt;TodayDay,S38,0))</f>
        <v>0</v>
      </c>
    </row>
    <row r="39" customFormat="false" ht="15" hidden="false" customHeight="false" outlineLevel="0" collapsed="false">
      <c r="A39" s="23"/>
      <c r="B39" s="23"/>
      <c r="C39" s="23"/>
      <c r="D39" s="56"/>
      <c r="E39" s="23"/>
      <c r="F39" s="23"/>
      <c r="G39" s="23"/>
      <c r="H39" s="23"/>
      <c r="I39" s="56"/>
      <c r="J39" s="23"/>
      <c r="K39" s="28"/>
      <c r="L39" s="23"/>
      <c r="M39" s="23"/>
      <c r="N39" s="25" t="str">
        <f aca="false">IF(A39="","",IF(LEFT(A39,3)="Pre",0,IFERROR(VALUE(MID(A39,5,FIND(" ",A39&amp;" ",5)-5)),"")))</f>
        <v/>
      </c>
      <c r="O39" s="57" t="str">
        <f aca="false">IF(N39="","",IF(N39=0,"Before trip",IF(TripStart="","",TripStart+N39-1)))</f>
        <v/>
      </c>
      <c r="P39" s="58" t="str">
        <f aca="false">IF(AND(D39="",I39=""),"",IF(OR(E39="",E39=HomeCcy),1,IFERROR(INDEX(Setup!$J$26:$J$33,MATCH(E39,Setup!$G$26:$G$33,0)),IFERROR(INDEX(Settings!$S$5:$S$64,MATCH(E39,Settings!$R$5:$R$64,0))/HomeINR,1))))</f>
        <v/>
      </c>
      <c r="Q39" s="34" t="str">
        <f aca="false">IF(D39="","",D39*P39)</f>
        <v/>
      </c>
      <c r="R39" s="34" t="str">
        <f aca="false">IF(I39="","",I39*P39)</f>
        <v/>
      </c>
      <c r="S39" s="33" t="n">
        <f aca="false">IF(H39="Cancelled",0,IF(R39&lt;&gt;"",R39,IF(Q39&lt;&gt;"",Q39,0)))</f>
        <v>0</v>
      </c>
      <c r="T39" s="45" t="str">
        <f aca="false">IF(S39=0,"",IF(SUM(AE39:AN39)=0,"⚠ nobody picked",COUNTIF(AE39:AN39,"&gt;0")&amp;" people"))</f>
        <v/>
      </c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60" t="n">
        <f aca="false">IF(OR($S39=0,Setup!$B$18=""),0,IF(OR($G39="",$G39="Everyone"),1,IF($G39="Custom",N(U39),IF(OR($G39=Setup!$B$18,AND(Setup!$C$18&lt;&gt;"",$G39=Setup!$C$18)),1,0))))</f>
        <v>0</v>
      </c>
      <c r="AF39" s="60" t="n">
        <f aca="false">IF(OR($S39=0,Setup!$B$19=""),0,IF(OR($G39="",$G39="Everyone"),1,IF($G39="Custom",N(V39),IF(OR($G39=Setup!$B$19,AND(Setup!$C$19&lt;&gt;"",$G39=Setup!$C$19)),1,0))))</f>
        <v>0</v>
      </c>
      <c r="AG39" s="60" t="n">
        <f aca="false">IF(OR($S39=0,Setup!$B$20=""),0,IF(OR($G39="",$G39="Everyone"),1,IF($G39="Custom",N(W39),IF(OR($G39=Setup!$B$20,AND(Setup!$C$20&lt;&gt;"",$G39=Setup!$C$20)),1,0))))</f>
        <v>0</v>
      </c>
      <c r="AH39" s="60" t="n">
        <f aca="false">IF(OR($S39=0,Setup!$B$21=""),0,IF(OR($G39="",$G39="Everyone"),1,IF($G39="Custom",N(X39),IF(OR($G39=Setup!$B$21,AND(Setup!$C$21&lt;&gt;"",$G39=Setup!$C$21)),1,0))))</f>
        <v>0</v>
      </c>
      <c r="AI39" s="60" t="n">
        <f aca="false">IF(OR($S39=0,Setup!$B$22=""),0,IF(OR($G39="",$G39="Everyone"),1,IF($G39="Custom",N(Y39),IF(OR($G39=Setup!$B$22,AND(Setup!$C$22&lt;&gt;"",$G39=Setup!$C$22)),1,0))))</f>
        <v>0</v>
      </c>
      <c r="AJ39" s="60" t="n">
        <f aca="false">IF(OR($S39=0,Setup!$B$23=""),0,IF(OR($G39="",$G39="Everyone"),1,IF($G39="Custom",N(Z39),IF(OR($G39=Setup!$B$23,AND(Setup!$C$23&lt;&gt;"",$G39=Setup!$C$23)),1,0))))</f>
        <v>0</v>
      </c>
      <c r="AK39" s="60" t="n">
        <f aca="false">IF(OR($S39=0,Setup!$B$24=""),0,IF(OR($G39="",$G39="Everyone"),1,IF($G39="Custom",N(AA39),IF(OR($G39=Setup!$B$24,AND(Setup!$C$24&lt;&gt;"",$G39=Setup!$C$24)),1,0))))</f>
        <v>0</v>
      </c>
      <c r="AL39" s="60" t="n">
        <f aca="false">IF(OR($S39=0,Setup!$B$25=""),0,IF(OR($G39="",$G39="Everyone"),1,IF($G39="Custom",N(AB39),IF(OR($G39=Setup!$B$25,AND(Setup!$C$25&lt;&gt;"",$G39=Setup!$C$25)),1,0))))</f>
        <v>0</v>
      </c>
      <c r="AM39" s="60" t="n">
        <f aca="false">IF(OR($S39=0,Setup!$B$26=""),0,IF(OR($G39="",$G39="Everyone"),1,IF($G39="Custom",N(AC39),IF(OR($G39=Setup!$B$26,AND(Setup!$C$26&lt;&gt;"",$G39=Setup!$C$26)),1,0))))</f>
        <v>0</v>
      </c>
      <c r="AN39" s="60" t="n">
        <f aca="false">IF(OR($S39=0,Setup!$B$27=""),0,IF(OR($G39="",$G39="Everyone"),1,IF($G39="Custom",N(AD39),IF(OR($G39=Setup!$B$27,AND(Setup!$C$27&lt;&gt;"",$G39=Setup!$C$27)),1,0))))</f>
        <v>0</v>
      </c>
      <c r="AO39" s="60" t="n">
        <f aca="false">IF(SUM(AE39:AN39)=0,1,SUM(AE39:AN39))</f>
        <v>1</v>
      </c>
      <c r="AP39" s="60" t="n">
        <f aca="false">IF(H39="Paid",1,0)</f>
        <v>0</v>
      </c>
      <c r="AQ39" s="60" t="n">
        <f aca="false">IF(AND(S39&gt;0,SUM(AE39:AN39)=0),S39,0)</f>
        <v>0</v>
      </c>
      <c r="AR39" s="60" t="str">
        <f aca="false">IF(AND(N39&lt;&gt;"",TodayDay&lt;&gt;"",N39=TodayDay),COUNTIF($N$6:N39,TodayDay),"")</f>
        <v/>
      </c>
      <c r="AS39" s="60" t="n">
        <f aca="false">IF(B39="",0,IF(COUNTIFS(Settings!$A$5:$A$29,B39,Settings!$B$5:$B$29,"Yes")&gt;0,1,0))</f>
        <v>0</v>
      </c>
      <c r="AT39" s="61" t="n">
        <f aca="false">IF(OR(N39="",TodayDay=""),IF(N39="",S39,0),IF(N39&lt;TodayDay,S39,0))</f>
        <v>0</v>
      </c>
    </row>
    <row r="40" customFormat="false" ht="15" hidden="false" customHeight="false" outlineLevel="0" collapsed="false">
      <c r="A40" s="23"/>
      <c r="B40" s="23"/>
      <c r="C40" s="23"/>
      <c r="D40" s="56"/>
      <c r="E40" s="23"/>
      <c r="F40" s="23"/>
      <c r="G40" s="23"/>
      <c r="H40" s="23"/>
      <c r="I40" s="56"/>
      <c r="J40" s="23"/>
      <c r="K40" s="28"/>
      <c r="L40" s="23"/>
      <c r="M40" s="23"/>
      <c r="N40" s="25" t="str">
        <f aca="false">IF(A40="","",IF(LEFT(A40,3)="Pre",0,IFERROR(VALUE(MID(A40,5,FIND(" ",A40&amp;" ",5)-5)),"")))</f>
        <v/>
      </c>
      <c r="O40" s="57" t="str">
        <f aca="false">IF(N40="","",IF(N40=0,"Before trip",IF(TripStart="","",TripStart+N40-1)))</f>
        <v/>
      </c>
      <c r="P40" s="58" t="str">
        <f aca="false">IF(AND(D40="",I40=""),"",IF(OR(E40="",E40=HomeCcy),1,IFERROR(INDEX(Setup!$J$26:$J$33,MATCH(E40,Setup!$G$26:$G$33,0)),IFERROR(INDEX(Settings!$S$5:$S$64,MATCH(E40,Settings!$R$5:$R$64,0))/HomeINR,1))))</f>
        <v/>
      </c>
      <c r="Q40" s="34" t="str">
        <f aca="false">IF(D40="","",D40*P40)</f>
        <v/>
      </c>
      <c r="R40" s="34" t="str">
        <f aca="false">IF(I40="","",I40*P40)</f>
        <v/>
      </c>
      <c r="S40" s="33" t="n">
        <f aca="false">IF(H40="Cancelled",0,IF(R40&lt;&gt;"",R40,IF(Q40&lt;&gt;"",Q40,0)))</f>
        <v>0</v>
      </c>
      <c r="T40" s="45" t="str">
        <f aca="false">IF(S40=0,"",IF(SUM(AE40:AN40)=0,"⚠ nobody picked",COUNTIF(AE40:AN40,"&gt;0")&amp;" people"))</f>
        <v/>
      </c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60" t="n">
        <f aca="false">IF(OR($S40=0,Setup!$B$18=""),0,IF(OR($G40="",$G40="Everyone"),1,IF($G40="Custom",N(U40),IF(OR($G40=Setup!$B$18,AND(Setup!$C$18&lt;&gt;"",$G40=Setup!$C$18)),1,0))))</f>
        <v>0</v>
      </c>
      <c r="AF40" s="60" t="n">
        <f aca="false">IF(OR($S40=0,Setup!$B$19=""),0,IF(OR($G40="",$G40="Everyone"),1,IF($G40="Custom",N(V40),IF(OR($G40=Setup!$B$19,AND(Setup!$C$19&lt;&gt;"",$G40=Setup!$C$19)),1,0))))</f>
        <v>0</v>
      </c>
      <c r="AG40" s="60" t="n">
        <f aca="false">IF(OR($S40=0,Setup!$B$20=""),0,IF(OR($G40="",$G40="Everyone"),1,IF($G40="Custom",N(W40),IF(OR($G40=Setup!$B$20,AND(Setup!$C$20&lt;&gt;"",$G40=Setup!$C$20)),1,0))))</f>
        <v>0</v>
      </c>
      <c r="AH40" s="60" t="n">
        <f aca="false">IF(OR($S40=0,Setup!$B$21=""),0,IF(OR($G40="",$G40="Everyone"),1,IF($G40="Custom",N(X40),IF(OR($G40=Setup!$B$21,AND(Setup!$C$21&lt;&gt;"",$G40=Setup!$C$21)),1,0))))</f>
        <v>0</v>
      </c>
      <c r="AI40" s="60" t="n">
        <f aca="false">IF(OR($S40=0,Setup!$B$22=""),0,IF(OR($G40="",$G40="Everyone"),1,IF($G40="Custom",N(Y40),IF(OR($G40=Setup!$B$22,AND(Setup!$C$22&lt;&gt;"",$G40=Setup!$C$22)),1,0))))</f>
        <v>0</v>
      </c>
      <c r="AJ40" s="60" t="n">
        <f aca="false">IF(OR($S40=0,Setup!$B$23=""),0,IF(OR($G40="",$G40="Everyone"),1,IF($G40="Custom",N(Z40),IF(OR($G40=Setup!$B$23,AND(Setup!$C$23&lt;&gt;"",$G40=Setup!$C$23)),1,0))))</f>
        <v>0</v>
      </c>
      <c r="AK40" s="60" t="n">
        <f aca="false">IF(OR($S40=0,Setup!$B$24=""),0,IF(OR($G40="",$G40="Everyone"),1,IF($G40="Custom",N(AA40),IF(OR($G40=Setup!$B$24,AND(Setup!$C$24&lt;&gt;"",$G40=Setup!$C$24)),1,0))))</f>
        <v>0</v>
      </c>
      <c r="AL40" s="60" t="n">
        <f aca="false">IF(OR($S40=0,Setup!$B$25=""),0,IF(OR($G40="",$G40="Everyone"),1,IF($G40="Custom",N(AB40),IF(OR($G40=Setup!$B$25,AND(Setup!$C$25&lt;&gt;"",$G40=Setup!$C$25)),1,0))))</f>
        <v>0</v>
      </c>
      <c r="AM40" s="60" t="n">
        <f aca="false">IF(OR($S40=0,Setup!$B$26=""),0,IF(OR($G40="",$G40="Everyone"),1,IF($G40="Custom",N(AC40),IF(OR($G40=Setup!$B$26,AND(Setup!$C$26&lt;&gt;"",$G40=Setup!$C$26)),1,0))))</f>
        <v>0</v>
      </c>
      <c r="AN40" s="60" t="n">
        <f aca="false">IF(OR($S40=0,Setup!$B$27=""),0,IF(OR($G40="",$G40="Everyone"),1,IF($G40="Custom",N(AD40),IF(OR($G40=Setup!$B$27,AND(Setup!$C$27&lt;&gt;"",$G40=Setup!$C$27)),1,0))))</f>
        <v>0</v>
      </c>
      <c r="AO40" s="60" t="n">
        <f aca="false">IF(SUM(AE40:AN40)=0,1,SUM(AE40:AN40))</f>
        <v>1</v>
      </c>
      <c r="AP40" s="60" t="n">
        <f aca="false">IF(H40="Paid",1,0)</f>
        <v>0</v>
      </c>
      <c r="AQ40" s="60" t="n">
        <f aca="false">IF(AND(S40&gt;0,SUM(AE40:AN40)=0),S40,0)</f>
        <v>0</v>
      </c>
      <c r="AR40" s="60" t="str">
        <f aca="false">IF(AND(N40&lt;&gt;"",TodayDay&lt;&gt;"",N40=TodayDay),COUNTIF($N$6:N40,TodayDay),"")</f>
        <v/>
      </c>
      <c r="AS40" s="60" t="n">
        <f aca="false">IF(B40="",0,IF(COUNTIFS(Settings!$A$5:$A$29,B40,Settings!$B$5:$B$29,"Yes")&gt;0,1,0))</f>
        <v>0</v>
      </c>
      <c r="AT40" s="61" t="n">
        <f aca="false">IF(OR(N40="",TodayDay=""),IF(N40="",S40,0),IF(N40&lt;TodayDay,S40,0))</f>
        <v>0</v>
      </c>
    </row>
    <row r="41" customFormat="false" ht="15" hidden="false" customHeight="false" outlineLevel="0" collapsed="false">
      <c r="A41" s="23"/>
      <c r="B41" s="23"/>
      <c r="C41" s="23"/>
      <c r="D41" s="56"/>
      <c r="E41" s="23"/>
      <c r="F41" s="23"/>
      <c r="G41" s="23"/>
      <c r="H41" s="23"/>
      <c r="I41" s="56"/>
      <c r="J41" s="23"/>
      <c r="K41" s="28"/>
      <c r="L41" s="23"/>
      <c r="M41" s="23"/>
      <c r="N41" s="25" t="str">
        <f aca="false">IF(A41="","",IF(LEFT(A41,3)="Pre",0,IFERROR(VALUE(MID(A41,5,FIND(" ",A41&amp;" ",5)-5)),"")))</f>
        <v/>
      </c>
      <c r="O41" s="57" t="str">
        <f aca="false">IF(N41="","",IF(N41=0,"Before trip",IF(TripStart="","",TripStart+N41-1)))</f>
        <v/>
      </c>
      <c r="P41" s="58" t="str">
        <f aca="false">IF(AND(D41="",I41=""),"",IF(OR(E41="",E41=HomeCcy),1,IFERROR(INDEX(Setup!$J$26:$J$33,MATCH(E41,Setup!$G$26:$G$33,0)),IFERROR(INDEX(Settings!$S$5:$S$64,MATCH(E41,Settings!$R$5:$R$64,0))/HomeINR,1))))</f>
        <v/>
      </c>
      <c r="Q41" s="34" t="str">
        <f aca="false">IF(D41="","",D41*P41)</f>
        <v/>
      </c>
      <c r="R41" s="34" t="str">
        <f aca="false">IF(I41="","",I41*P41)</f>
        <v/>
      </c>
      <c r="S41" s="33" t="n">
        <f aca="false">IF(H41="Cancelled",0,IF(R41&lt;&gt;"",R41,IF(Q41&lt;&gt;"",Q41,0)))</f>
        <v>0</v>
      </c>
      <c r="T41" s="45" t="str">
        <f aca="false">IF(S41=0,"",IF(SUM(AE41:AN41)=0,"⚠ nobody picked",COUNTIF(AE41:AN41,"&gt;0")&amp;" people"))</f>
        <v/>
      </c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 t="n">
        <f aca="false">IF(OR($S41=0,Setup!$B$18=""),0,IF(OR($G41="",$G41="Everyone"),1,IF($G41="Custom",N(U41),IF(OR($G41=Setup!$B$18,AND(Setup!$C$18&lt;&gt;"",$G41=Setup!$C$18)),1,0))))</f>
        <v>0</v>
      </c>
      <c r="AF41" s="60" t="n">
        <f aca="false">IF(OR($S41=0,Setup!$B$19=""),0,IF(OR($G41="",$G41="Everyone"),1,IF($G41="Custom",N(V41),IF(OR($G41=Setup!$B$19,AND(Setup!$C$19&lt;&gt;"",$G41=Setup!$C$19)),1,0))))</f>
        <v>0</v>
      </c>
      <c r="AG41" s="60" t="n">
        <f aca="false">IF(OR($S41=0,Setup!$B$20=""),0,IF(OR($G41="",$G41="Everyone"),1,IF($G41="Custom",N(W41),IF(OR($G41=Setup!$B$20,AND(Setup!$C$20&lt;&gt;"",$G41=Setup!$C$20)),1,0))))</f>
        <v>0</v>
      </c>
      <c r="AH41" s="60" t="n">
        <f aca="false">IF(OR($S41=0,Setup!$B$21=""),0,IF(OR($G41="",$G41="Everyone"),1,IF($G41="Custom",N(X41),IF(OR($G41=Setup!$B$21,AND(Setup!$C$21&lt;&gt;"",$G41=Setup!$C$21)),1,0))))</f>
        <v>0</v>
      </c>
      <c r="AI41" s="60" t="n">
        <f aca="false">IF(OR($S41=0,Setup!$B$22=""),0,IF(OR($G41="",$G41="Everyone"),1,IF($G41="Custom",N(Y41),IF(OR($G41=Setup!$B$22,AND(Setup!$C$22&lt;&gt;"",$G41=Setup!$C$22)),1,0))))</f>
        <v>0</v>
      </c>
      <c r="AJ41" s="60" t="n">
        <f aca="false">IF(OR($S41=0,Setup!$B$23=""),0,IF(OR($G41="",$G41="Everyone"),1,IF($G41="Custom",N(Z41),IF(OR($G41=Setup!$B$23,AND(Setup!$C$23&lt;&gt;"",$G41=Setup!$C$23)),1,0))))</f>
        <v>0</v>
      </c>
      <c r="AK41" s="60" t="n">
        <f aca="false">IF(OR($S41=0,Setup!$B$24=""),0,IF(OR($G41="",$G41="Everyone"),1,IF($G41="Custom",N(AA41),IF(OR($G41=Setup!$B$24,AND(Setup!$C$24&lt;&gt;"",$G41=Setup!$C$24)),1,0))))</f>
        <v>0</v>
      </c>
      <c r="AL41" s="60" t="n">
        <f aca="false">IF(OR($S41=0,Setup!$B$25=""),0,IF(OR($G41="",$G41="Everyone"),1,IF($G41="Custom",N(AB41),IF(OR($G41=Setup!$B$25,AND(Setup!$C$25&lt;&gt;"",$G41=Setup!$C$25)),1,0))))</f>
        <v>0</v>
      </c>
      <c r="AM41" s="60" t="n">
        <f aca="false">IF(OR($S41=0,Setup!$B$26=""),0,IF(OR($G41="",$G41="Everyone"),1,IF($G41="Custom",N(AC41),IF(OR($G41=Setup!$B$26,AND(Setup!$C$26&lt;&gt;"",$G41=Setup!$C$26)),1,0))))</f>
        <v>0</v>
      </c>
      <c r="AN41" s="60" t="n">
        <f aca="false">IF(OR($S41=0,Setup!$B$27=""),0,IF(OR($G41="",$G41="Everyone"),1,IF($G41="Custom",N(AD41),IF(OR($G41=Setup!$B$27,AND(Setup!$C$27&lt;&gt;"",$G41=Setup!$C$27)),1,0))))</f>
        <v>0</v>
      </c>
      <c r="AO41" s="60" t="n">
        <f aca="false">IF(SUM(AE41:AN41)=0,1,SUM(AE41:AN41))</f>
        <v>1</v>
      </c>
      <c r="AP41" s="60" t="n">
        <f aca="false">IF(H41="Paid",1,0)</f>
        <v>0</v>
      </c>
      <c r="AQ41" s="60" t="n">
        <f aca="false">IF(AND(S41&gt;0,SUM(AE41:AN41)=0),S41,0)</f>
        <v>0</v>
      </c>
      <c r="AR41" s="60" t="str">
        <f aca="false">IF(AND(N41&lt;&gt;"",TodayDay&lt;&gt;"",N41=TodayDay),COUNTIF($N$6:N41,TodayDay),"")</f>
        <v/>
      </c>
      <c r="AS41" s="60" t="n">
        <f aca="false">IF(B41="",0,IF(COUNTIFS(Settings!$A$5:$A$29,B41,Settings!$B$5:$B$29,"Yes")&gt;0,1,0))</f>
        <v>0</v>
      </c>
      <c r="AT41" s="61" t="n">
        <f aca="false">IF(OR(N41="",TodayDay=""),IF(N41="",S41,0),IF(N41&lt;TodayDay,S41,0))</f>
        <v>0</v>
      </c>
    </row>
    <row r="42" customFormat="false" ht="15" hidden="false" customHeight="false" outlineLevel="0" collapsed="false">
      <c r="A42" s="23"/>
      <c r="B42" s="23"/>
      <c r="C42" s="23"/>
      <c r="D42" s="56"/>
      <c r="E42" s="23"/>
      <c r="F42" s="23"/>
      <c r="G42" s="23"/>
      <c r="H42" s="23"/>
      <c r="I42" s="56"/>
      <c r="J42" s="23"/>
      <c r="K42" s="28"/>
      <c r="L42" s="23"/>
      <c r="M42" s="23"/>
      <c r="N42" s="25" t="str">
        <f aca="false">IF(A42="","",IF(LEFT(A42,3)="Pre",0,IFERROR(VALUE(MID(A42,5,FIND(" ",A42&amp;" ",5)-5)),"")))</f>
        <v/>
      </c>
      <c r="O42" s="57" t="str">
        <f aca="false">IF(N42="","",IF(N42=0,"Before trip",IF(TripStart="","",TripStart+N42-1)))</f>
        <v/>
      </c>
      <c r="P42" s="58" t="str">
        <f aca="false">IF(AND(D42="",I42=""),"",IF(OR(E42="",E42=HomeCcy),1,IFERROR(INDEX(Setup!$J$26:$J$33,MATCH(E42,Setup!$G$26:$G$33,0)),IFERROR(INDEX(Settings!$S$5:$S$64,MATCH(E42,Settings!$R$5:$R$64,0))/HomeINR,1))))</f>
        <v/>
      </c>
      <c r="Q42" s="34" t="str">
        <f aca="false">IF(D42="","",D42*P42)</f>
        <v/>
      </c>
      <c r="R42" s="34" t="str">
        <f aca="false">IF(I42="","",I42*P42)</f>
        <v/>
      </c>
      <c r="S42" s="33" t="n">
        <f aca="false">IF(H42="Cancelled",0,IF(R42&lt;&gt;"",R42,IF(Q42&lt;&gt;"",Q42,0)))</f>
        <v>0</v>
      </c>
      <c r="T42" s="45" t="str">
        <f aca="false">IF(S42=0,"",IF(SUM(AE42:AN42)=0,"⚠ nobody picked",COUNTIF(AE42:AN42,"&gt;0")&amp;" people"))</f>
        <v/>
      </c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60" t="n">
        <f aca="false">IF(OR($S42=0,Setup!$B$18=""),0,IF(OR($G42="",$G42="Everyone"),1,IF($G42="Custom",N(U42),IF(OR($G42=Setup!$B$18,AND(Setup!$C$18&lt;&gt;"",$G42=Setup!$C$18)),1,0))))</f>
        <v>0</v>
      </c>
      <c r="AF42" s="60" t="n">
        <f aca="false">IF(OR($S42=0,Setup!$B$19=""),0,IF(OR($G42="",$G42="Everyone"),1,IF($G42="Custom",N(V42),IF(OR($G42=Setup!$B$19,AND(Setup!$C$19&lt;&gt;"",$G42=Setup!$C$19)),1,0))))</f>
        <v>0</v>
      </c>
      <c r="AG42" s="60" t="n">
        <f aca="false">IF(OR($S42=0,Setup!$B$20=""),0,IF(OR($G42="",$G42="Everyone"),1,IF($G42="Custom",N(W42),IF(OR($G42=Setup!$B$20,AND(Setup!$C$20&lt;&gt;"",$G42=Setup!$C$20)),1,0))))</f>
        <v>0</v>
      </c>
      <c r="AH42" s="60" t="n">
        <f aca="false">IF(OR($S42=0,Setup!$B$21=""),0,IF(OR($G42="",$G42="Everyone"),1,IF($G42="Custom",N(X42),IF(OR($G42=Setup!$B$21,AND(Setup!$C$21&lt;&gt;"",$G42=Setup!$C$21)),1,0))))</f>
        <v>0</v>
      </c>
      <c r="AI42" s="60" t="n">
        <f aca="false">IF(OR($S42=0,Setup!$B$22=""),0,IF(OR($G42="",$G42="Everyone"),1,IF($G42="Custom",N(Y42),IF(OR($G42=Setup!$B$22,AND(Setup!$C$22&lt;&gt;"",$G42=Setup!$C$22)),1,0))))</f>
        <v>0</v>
      </c>
      <c r="AJ42" s="60" t="n">
        <f aca="false">IF(OR($S42=0,Setup!$B$23=""),0,IF(OR($G42="",$G42="Everyone"),1,IF($G42="Custom",N(Z42),IF(OR($G42=Setup!$B$23,AND(Setup!$C$23&lt;&gt;"",$G42=Setup!$C$23)),1,0))))</f>
        <v>0</v>
      </c>
      <c r="AK42" s="60" t="n">
        <f aca="false">IF(OR($S42=0,Setup!$B$24=""),0,IF(OR($G42="",$G42="Everyone"),1,IF($G42="Custom",N(AA42),IF(OR($G42=Setup!$B$24,AND(Setup!$C$24&lt;&gt;"",$G42=Setup!$C$24)),1,0))))</f>
        <v>0</v>
      </c>
      <c r="AL42" s="60" t="n">
        <f aca="false">IF(OR($S42=0,Setup!$B$25=""),0,IF(OR($G42="",$G42="Everyone"),1,IF($G42="Custom",N(AB42),IF(OR($G42=Setup!$B$25,AND(Setup!$C$25&lt;&gt;"",$G42=Setup!$C$25)),1,0))))</f>
        <v>0</v>
      </c>
      <c r="AM42" s="60" t="n">
        <f aca="false">IF(OR($S42=0,Setup!$B$26=""),0,IF(OR($G42="",$G42="Everyone"),1,IF($G42="Custom",N(AC42),IF(OR($G42=Setup!$B$26,AND(Setup!$C$26&lt;&gt;"",$G42=Setup!$C$26)),1,0))))</f>
        <v>0</v>
      </c>
      <c r="AN42" s="60" t="n">
        <f aca="false">IF(OR($S42=0,Setup!$B$27=""),0,IF(OR($G42="",$G42="Everyone"),1,IF($G42="Custom",N(AD42),IF(OR($G42=Setup!$B$27,AND(Setup!$C$27&lt;&gt;"",$G42=Setup!$C$27)),1,0))))</f>
        <v>0</v>
      </c>
      <c r="AO42" s="60" t="n">
        <f aca="false">IF(SUM(AE42:AN42)=0,1,SUM(AE42:AN42))</f>
        <v>1</v>
      </c>
      <c r="AP42" s="60" t="n">
        <f aca="false">IF(H42="Paid",1,0)</f>
        <v>0</v>
      </c>
      <c r="AQ42" s="60" t="n">
        <f aca="false">IF(AND(S42&gt;0,SUM(AE42:AN42)=0),S42,0)</f>
        <v>0</v>
      </c>
      <c r="AR42" s="60" t="str">
        <f aca="false">IF(AND(N42&lt;&gt;"",TodayDay&lt;&gt;"",N42=TodayDay),COUNTIF($N$6:N42,TodayDay),"")</f>
        <v/>
      </c>
      <c r="AS42" s="60" t="n">
        <f aca="false">IF(B42="",0,IF(COUNTIFS(Settings!$A$5:$A$29,B42,Settings!$B$5:$B$29,"Yes")&gt;0,1,0))</f>
        <v>0</v>
      </c>
      <c r="AT42" s="61" t="n">
        <f aca="false">IF(OR(N42="",TodayDay=""),IF(N42="",S42,0),IF(N42&lt;TodayDay,S42,0))</f>
        <v>0</v>
      </c>
    </row>
    <row r="43" customFormat="false" ht="15" hidden="false" customHeight="false" outlineLevel="0" collapsed="false">
      <c r="A43" s="23"/>
      <c r="B43" s="23"/>
      <c r="C43" s="23"/>
      <c r="D43" s="56"/>
      <c r="E43" s="23"/>
      <c r="F43" s="23"/>
      <c r="G43" s="23"/>
      <c r="H43" s="23"/>
      <c r="I43" s="56"/>
      <c r="J43" s="23"/>
      <c r="K43" s="28"/>
      <c r="L43" s="23"/>
      <c r="M43" s="23"/>
      <c r="N43" s="25" t="str">
        <f aca="false">IF(A43="","",IF(LEFT(A43,3)="Pre",0,IFERROR(VALUE(MID(A43,5,FIND(" ",A43&amp;" ",5)-5)),"")))</f>
        <v/>
      </c>
      <c r="O43" s="57" t="str">
        <f aca="false">IF(N43="","",IF(N43=0,"Before trip",IF(TripStart="","",TripStart+N43-1)))</f>
        <v/>
      </c>
      <c r="P43" s="58" t="str">
        <f aca="false">IF(AND(D43="",I43=""),"",IF(OR(E43="",E43=HomeCcy),1,IFERROR(INDEX(Setup!$J$26:$J$33,MATCH(E43,Setup!$G$26:$G$33,0)),IFERROR(INDEX(Settings!$S$5:$S$64,MATCH(E43,Settings!$R$5:$R$64,0))/HomeINR,1))))</f>
        <v/>
      </c>
      <c r="Q43" s="34" t="str">
        <f aca="false">IF(D43="","",D43*P43)</f>
        <v/>
      </c>
      <c r="R43" s="34" t="str">
        <f aca="false">IF(I43="","",I43*P43)</f>
        <v/>
      </c>
      <c r="S43" s="33" t="n">
        <f aca="false">IF(H43="Cancelled",0,IF(R43&lt;&gt;"",R43,IF(Q43&lt;&gt;"",Q43,0)))</f>
        <v>0</v>
      </c>
      <c r="T43" s="45" t="str">
        <f aca="false">IF(S43=0,"",IF(SUM(AE43:AN43)=0,"⚠ nobody picked",COUNTIF(AE43:AN43,"&gt;0")&amp;" people"))</f>
        <v/>
      </c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60" t="n">
        <f aca="false">IF(OR($S43=0,Setup!$B$18=""),0,IF(OR($G43="",$G43="Everyone"),1,IF($G43="Custom",N(U43),IF(OR($G43=Setup!$B$18,AND(Setup!$C$18&lt;&gt;"",$G43=Setup!$C$18)),1,0))))</f>
        <v>0</v>
      </c>
      <c r="AF43" s="60" t="n">
        <f aca="false">IF(OR($S43=0,Setup!$B$19=""),0,IF(OR($G43="",$G43="Everyone"),1,IF($G43="Custom",N(V43),IF(OR($G43=Setup!$B$19,AND(Setup!$C$19&lt;&gt;"",$G43=Setup!$C$19)),1,0))))</f>
        <v>0</v>
      </c>
      <c r="AG43" s="60" t="n">
        <f aca="false">IF(OR($S43=0,Setup!$B$20=""),0,IF(OR($G43="",$G43="Everyone"),1,IF($G43="Custom",N(W43),IF(OR($G43=Setup!$B$20,AND(Setup!$C$20&lt;&gt;"",$G43=Setup!$C$20)),1,0))))</f>
        <v>0</v>
      </c>
      <c r="AH43" s="60" t="n">
        <f aca="false">IF(OR($S43=0,Setup!$B$21=""),0,IF(OR($G43="",$G43="Everyone"),1,IF($G43="Custom",N(X43),IF(OR($G43=Setup!$B$21,AND(Setup!$C$21&lt;&gt;"",$G43=Setup!$C$21)),1,0))))</f>
        <v>0</v>
      </c>
      <c r="AI43" s="60" t="n">
        <f aca="false">IF(OR($S43=0,Setup!$B$22=""),0,IF(OR($G43="",$G43="Everyone"),1,IF($G43="Custom",N(Y43),IF(OR($G43=Setup!$B$22,AND(Setup!$C$22&lt;&gt;"",$G43=Setup!$C$22)),1,0))))</f>
        <v>0</v>
      </c>
      <c r="AJ43" s="60" t="n">
        <f aca="false">IF(OR($S43=0,Setup!$B$23=""),0,IF(OR($G43="",$G43="Everyone"),1,IF($G43="Custom",N(Z43),IF(OR($G43=Setup!$B$23,AND(Setup!$C$23&lt;&gt;"",$G43=Setup!$C$23)),1,0))))</f>
        <v>0</v>
      </c>
      <c r="AK43" s="60" t="n">
        <f aca="false">IF(OR($S43=0,Setup!$B$24=""),0,IF(OR($G43="",$G43="Everyone"),1,IF($G43="Custom",N(AA43),IF(OR($G43=Setup!$B$24,AND(Setup!$C$24&lt;&gt;"",$G43=Setup!$C$24)),1,0))))</f>
        <v>0</v>
      </c>
      <c r="AL43" s="60" t="n">
        <f aca="false">IF(OR($S43=0,Setup!$B$25=""),0,IF(OR($G43="",$G43="Everyone"),1,IF($G43="Custom",N(AB43),IF(OR($G43=Setup!$B$25,AND(Setup!$C$25&lt;&gt;"",$G43=Setup!$C$25)),1,0))))</f>
        <v>0</v>
      </c>
      <c r="AM43" s="60" t="n">
        <f aca="false">IF(OR($S43=0,Setup!$B$26=""),0,IF(OR($G43="",$G43="Everyone"),1,IF($G43="Custom",N(AC43),IF(OR($G43=Setup!$B$26,AND(Setup!$C$26&lt;&gt;"",$G43=Setup!$C$26)),1,0))))</f>
        <v>0</v>
      </c>
      <c r="AN43" s="60" t="n">
        <f aca="false">IF(OR($S43=0,Setup!$B$27=""),0,IF(OR($G43="",$G43="Everyone"),1,IF($G43="Custom",N(AD43),IF(OR($G43=Setup!$B$27,AND(Setup!$C$27&lt;&gt;"",$G43=Setup!$C$27)),1,0))))</f>
        <v>0</v>
      </c>
      <c r="AO43" s="60" t="n">
        <f aca="false">IF(SUM(AE43:AN43)=0,1,SUM(AE43:AN43))</f>
        <v>1</v>
      </c>
      <c r="AP43" s="60" t="n">
        <f aca="false">IF(H43="Paid",1,0)</f>
        <v>0</v>
      </c>
      <c r="AQ43" s="60" t="n">
        <f aca="false">IF(AND(S43&gt;0,SUM(AE43:AN43)=0),S43,0)</f>
        <v>0</v>
      </c>
      <c r="AR43" s="60" t="str">
        <f aca="false">IF(AND(N43&lt;&gt;"",TodayDay&lt;&gt;"",N43=TodayDay),COUNTIF($N$6:N43,TodayDay),"")</f>
        <v/>
      </c>
      <c r="AS43" s="60" t="n">
        <f aca="false">IF(B43="",0,IF(COUNTIFS(Settings!$A$5:$A$29,B43,Settings!$B$5:$B$29,"Yes")&gt;0,1,0))</f>
        <v>0</v>
      </c>
      <c r="AT43" s="61" t="n">
        <f aca="false">IF(OR(N43="",TodayDay=""),IF(N43="",S43,0),IF(N43&lt;TodayDay,S43,0))</f>
        <v>0</v>
      </c>
    </row>
    <row r="44" customFormat="false" ht="15" hidden="false" customHeight="false" outlineLevel="0" collapsed="false">
      <c r="A44" s="23"/>
      <c r="B44" s="23"/>
      <c r="C44" s="23"/>
      <c r="D44" s="56"/>
      <c r="E44" s="23"/>
      <c r="F44" s="23"/>
      <c r="G44" s="23"/>
      <c r="H44" s="23"/>
      <c r="I44" s="56"/>
      <c r="J44" s="23"/>
      <c r="K44" s="28"/>
      <c r="L44" s="23"/>
      <c r="M44" s="23"/>
      <c r="N44" s="25" t="str">
        <f aca="false">IF(A44="","",IF(LEFT(A44,3)="Pre",0,IFERROR(VALUE(MID(A44,5,FIND(" ",A44&amp;" ",5)-5)),"")))</f>
        <v/>
      </c>
      <c r="O44" s="57" t="str">
        <f aca="false">IF(N44="","",IF(N44=0,"Before trip",IF(TripStart="","",TripStart+N44-1)))</f>
        <v/>
      </c>
      <c r="P44" s="58" t="str">
        <f aca="false">IF(AND(D44="",I44=""),"",IF(OR(E44="",E44=HomeCcy),1,IFERROR(INDEX(Setup!$J$26:$J$33,MATCH(E44,Setup!$G$26:$G$33,0)),IFERROR(INDEX(Settings!$S$5:$S$64,MATCH(E44,Settings!$R$5:$R$64,0))/HomeINR,1))))</f>
        <v/>
      </c>
      <c r="Q44" s="34" t="str">
        <f aca="false">IF(D44="","",D44*P44)</f>
        <v/>
      </c>
      <c r="R44" s="34" t="str">
        <f aca="false">IF(I44="","",I44*P44)</f>
        <v/>
      </c>
      <c r="S44" s="33" t="n">
        <f aca="false">IF(H44="Cancelled",0,IF(R44&lt;&gt;"",R44,IF(Q44&lt;&gt;"",Q44,0)))</f>
        <v>0</v>
      </c>
      <c r="T44" s="45" t="str">
        <f aca="false">IF(S44=0,"",IF(SUM(AE44:AN44)=0,"⚠ nobody picked",COUNTIF(AE44:AN44,"&gt;0")&amp;" people"))</f>
        <v/>
      </c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60" t="n">
        <f aca="false">IF(OR($S44=0,Setup!$B$18=""),0,IF(OR($G44="",$G44="Everyone"),1,IF($G44="Custom",N(U44),IF(OR($G44=Setup!$B$18,AND(Setup!$C$18&lt;&gt;"",$G44=Setup!$C$18)),1,0))))</f>
        <v>0</v>
      </c>
      <c r="AF44" s="60" t="n">
        <f aca="false">IF(OR($S44=0,Setup!$B$19=""),0,IF(OR($G44="",$G44="Everyone"),1,IF($G44="Custom",N(V44),IF(OR($G44=Setup!$B$19,AND(Setup!$C$19&lt;&gt;"",$G44=Setup!$C$19)),1,0))))</f>
        <v>0</v>
      </c>
      <c r="AG44" s="60" t="n">
        <f aca="false">IF(OR($S44=0,Setup!$B$20=""),0,IF(OR($G44="",$G44="Everyone"),1,IF($G44="Custom",N(W44),IF(OR($G44=Setup!$B$20,AND(Setup!$C$20&lt;&gt;"",$G44=Setup!$C$20)),1,0))))</f>
        <v>0</v>
      </c>
      <c r="AH44" s="60" t="n">
        <f aca="false">IF(OR($S44=0,Setup!$B$21=""),0,IF(OR($G44="",$G44="Everyone"),1,IF($G44="Custom",N(X44),IF(OR($G44=Setup!$B$21,AND(Setup!$C$21&lt;&gt;"",$G44=Setup!$C$21)),1,0))))</f>
        <v>0</v>
      </c>
      <c r="AI44" s="60" t="n">
        <f aca="false">IF(OR($S44=0,Setup!$B$22=""),0,IF(OR($G44="",$G44="Everyone"),1,IF($G44="Custom",N(Y44),IF(OR($G44=Setup!$B$22,AND(Setup!$C$22&lt;&gt;"",$G44=Setup!$C$22)),1,0))))</f>
        <v>0</v>
      </c>
      <c r="AJ44" s="60" t="n">
        <f aca="false">IF(OR($S44=0,Setup!$B$23=""),0,IF(OR($G44="",$G44="Everyone"),1,IF($G44="Custom",N(Z44),IF(OR($G44=Setup!$B$23,AND(Setup!$C$23&lt;&gt;"",$G44=Setup!$C$23)),1,0))))</f>
        <v>0</v>
      </c>
      <c r="AK44" s="60" t="n">
        <f aca="false">IF(OR($S44=0,Setup!$B$24=""),0,IF(OR($G44="",$G44="Everyone"),1,IF($G44="Custom",N(AA44),IF(OR($G44=Setup!$B$24,AND(Setup!$C$24&lt;&gt;"",$G44=Setup!$C$24)),1,0))))</f>
        <v>0</v>
      </c>
      <c r="AL44" s="60" t="n">
        <f aca="false">IF(OR($S44=0,Setup!$B$25=""),0,IF(OR($G44="",$G44="Everyone"),1,IF($G44="Custom",N(AB44),IF(OR($G44=Setup!$B$25,AND(Setup!$C$25&lt;&gt;"",$G44=Setup!$C$25)),1,0))))</f>
        <v>0</v>
      </c>
      <c r="AM44" s="60" t="n">
        <f aca="false">IF(OR($S44=0,Setup!$B$26=""),0,IF(OR($G44="",$G44="Everyone"),1,IF($G44="Custom",N(AC44),IF(OR($G44=Setup!$B$26,AND(Setup!$C$26&lt;&gt;"",$G44=Setup!$C$26)),1,0))))</f>
        <v>0</v>
      </c>
      <c r="AN44" s="60" t="n">
        <f aca="false">IF(OR($S44=0,Setup!$B$27=""),0,IF(OR($G44="",$G44="Everyone"),1,IF($G44="Custom",N(AD44),IF(OR($G44=Setup!$B$27,AND(Setup!$C$27&lt;&gt;"",$G44=Setup!$C$27)),1,0))))</f>
        <v>0</v>
      </c>
      <c r="AO44" s="60" t="n">
        <f aca="false">IF(SUM(AE44:AN44)=0,1,SUM(AE44:AN44))</f>
        <v>1</v>
      </c>
      <c r="AP44" s="60" t="n">
        <f aca="false">IF(H44="Paid",1,0)</f>
        <v>0</v>
      </c>
      <c r="AQ44" s="60" t="n">
        <f aca="false">IF(AND(S44&gt;0,SUM(AE44:AN44)=0),S44,0)</f>
        <v>0</v>
      </c>
      <c r="AR44" s="60" t="str">
        <f aca="false">IF(AND(N44&lt;&gt;"",TodayDay&lt;&gt;"",N44=TodayDay),COUNTIF($N$6:N44,TodayDay),"")</f>
        <v/>
      </c>
      <c r="AS44" s="60" t="n">
        <f aca="false">IF(B44="",0,IF(COUNTIFS(Settings!$A$5:$A$29,B44,Settings!$B$5:$B$29,"Yes")&gt;0,1,0))</f>
        <v>0</v>
      </c>
      <c r="AT44" s="61" t="n">
        <f aca="false">IF(OR(N44="",TodayDay=""),IF(N44="",S44,0),IF(N44&lt;TodayDay,S44,0))</f>
        <v>0</v>
      </c>
    </row>
    <row r="45" customFormat="false" ht="15" hidden="false" customHeight="false" outlineLevel="0" collapsed="false">
      <c r="A45" s="23"/>
      <c r="B45" s="23"/>
      <c r="C45" s="23"/>
      <c r="D45" s="56"/>
      <c r="E45" s="23"/>
      <c r="F45" s="23"/>
      <c r="G45" s="23"/>
      <c r="H45" s="23"/>
      <c r="I45" s="56"/>
      <c r="J45" s="23"/>
      <c r="K45" s="28"/>
      <c r="L45" s="23"/>
      <c r="M45" s="23"/>
      <c r="N45" s="25" t="str">
        <f aca="false">IF(A45="","",IF(LEFT(A45,3)="Pre",0,IFERROR(VALUE(MID(A45,5,FIND(" ",A45&amp;" ",5)-5)),"")))</f>
        <v/>
      </c>
      <c r="O45" s="57" t="str">
        <f aca="false">IF(N45="","",IF(N45=0,"Before trip",IF(TripStart="","",TripStart+N45-1)))</f>
        <v/>
      </c>
      <c r="P45" s="58" t="str">
        <f aca="false">IF(AND(D45="",I45=""),"",IF(OR(E45="",E45=HomeCcy),1,IFERROR(INDEX(Setup!$J$26:$J$33,MATCH(E45,Setup!$G$26:$G$33,0)),IFERROR(INDEX(Settings!$S$5:$S$64,MATCH(E45,Settings!$R$5:$R$64,0))/HomeINR,1))))</f>
        <v/>
      </c>
      <c r="Q45" s="34" t="str">
        <f aca="false">IF(D45="","",D45*P45)</f>
        <v/>
      </c>
      <c r="R45" s="34" t="str">
        <f aca="false">IF(I45="","",I45*P45)</f>
        <v/>
      </c>
      <c r="S45" s="33" t="n">
        <f aca="false">IF(H45="Cancelled",0,IF(R45&lt;&gt;"",R45,IF(Q45&lt;&gt;"",Q45,0)))</f>
        <v>0</v>
      </c>
      <c r="T45" s="45" t="str">
        <f aca="false">IF(S45=0,"",IF(SUM(AE45:AN45)=0,"⚠ nobody picked",COUNTIF(AE45:AN45,"&gt;0")&amp;" people"))</f>
        <v/>
      </c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60" t="n">
        <f aca="false">IF(OR($S45=0,Setup!$B$18=""),0,IF(OR($G45="",$G45="Everyone"),1,IF($G45="Custom",N(U45),IF(OR($G45=Setup!$B$18,AND(Setup!$C$18&lt;&gt;"",$G45=Setup!$C$18)),1,0))))</f>
        <v>0</v>
      </c>
      <c r="AF45" s="60" t="n">
        <f aca="false">IF(OR($S45=0,Setup!$B$19=""),0,IF(OR($G45="",$G45="Everyone"),1,IF($G45="Custom",N(V45),IF(OR($G45=Setup!$B$19,AND(Setup!$C$19&lt;&gt;"",$G45=Setup!$C$19)),1,0))))</f>
        <v>0</v>
      </c>
      <c r="AG45" s="60" t="n">
        <f aca="false">IF(OR($S45=0,Setup!$B$20=""),0,IF(OR($G45="",$G45="Everyone"),1,IF($G45="Custom",N(W45),IF(OR($G45=Setup!$B$20,AND(Setup!$C$20&lt;&gt;"",$G45=Setup!$C$20)),1,0))))</f>
        <v>0</v>
      </c>
      <c r="AH45" s="60" t="n">
        <f aca="false">IF(OR($S45=0,Setup!$B$21=""),0,IF(OR($G45="",$G45="Everyone"),1,IF($G45="Custom",N(X45),IF(OR($G45=Setup!$B$21,AND(Setup!$C$21&lt;&gt;"",$G45=Setup!$C$21)),1,0))))</f>
        <v>0</v>
      </c>
      <c r="AI45" s="60" t="n">
        <f aca="false">IF(OR($S45=0,Setup!$B$22=""),0,IF(OR($G45="",$G45="Everyone"),1,IF($G45="Custom",N(Y45),IF(OR($G45=Setup!$B$22,AND(Setup!$C$22&lt;&gt;"",$G45=Setup!$C$22)),1,0))))</f>
        <v>0</v>
      </c>
      <c r="AJ45" s="60" t="n">
        <f aca="false">IF(OR($S45=0,Setup!$B$23=""),0,IF(OR($G45="",$G45="Everyone"),1,IF($G45="Custom",N(Z45),IF(OR($G45=Setup!$B$23,AND(Setup!$C$23&lt;&gt;"",$G45=Setup!$C$23)),1,0))))</f>
        <v>0</v>
      </c>
      <c r="AK45" s="60" t="n">
        <f aca="false">IF(OR($S45=0,Setup!$B$24=""),0,IF(OR($G45="",$G45="Everyone"),1,IF($G45="Custom",N(AA45),IF(OR($G45=Setup!$B$24,AND(Setup!$C$24&lt;&gt;"",$G45=Setup!$C$24)),1,0))))</f>
        <v>0</v>
      </c>
      <c r="AL45" s="60" t="n">
        <f aca="false">IF(OR($S45=0,Setup!$B$25=""),0,IF(OR($G45="",$G45="Everyone"),1,IF($G45="Custom",N(AB45),IF(OR($G45=Setup!$B$25,AND(Setup!$C$25&lt;&gt;"",$G45=Setup!$C$25)),1,0))))</f>
        <v>0</v>
      </c>
      <c r="AM45" s="60" t="n">
        <f aca="false">IF(OR($S45=0,Setup!$B$26=""),0,IF(OR($G45="",$G45="Everyone"),1,IF($G45="Custom",N(AC45),IF(OR($G45=Setup!$B$26,AND(Setup!$C$26&lt;&gt;"",$G45=Setup!$C$26)),1,0))))</f>
        <v>0</v>
      </c>
      <c r="AN45" s="60" t="n">
        <f aca="false">IF(OR($S45=0,Setup!$B$27=""),0,IF(OR($G45="",$G45="Everyone"),1,IF($G45="Custom",N(AD45),IF(OR($G45=Setup!$B$27,AND(Setup!$C$27&lt;&gt;"",$G45=Setup!$C$27)),1,0))))</f>
        <v>0</v>
      </c>
      <c r="AO45" s="60" t="n">
        <f aca="false">IF(SUM(AE45:AN45)=0,1,SUM(AE45:AN45))</f>
        <v>1</v>
      </c>
      <c r="AP45" s="60" t="n">
        <f aca="false">IF(H45="Paid",1,0)</f>
        <v>0</v>
      </c>
      <c r="AQ45" s="60" t="n">
        <f aca="false">IF(AND(S45&gt;0,SUM(AE45:AN45)=0),S45,0)</f>
        <v>0</v>
      </c>
      <c r="AR45" s="60" t="str">
        <f aca="false">IF(AND(N45&lt;&gt;"",TodayDay&lt;&gt;"",N45=TodayDay),COUNTIF($N$6:N45,TodayDay),"")</f>
        <v/>
      </c>
      <c r="AS45" s="60" t="n">
        <f aca="false">IF(B45="",0,IF(COUNTIFS(Settings!$A$5:$A$29,B45,Settings!$B$5:$B$29,"Yes")&gt;0,1,0))</f>
        <v>0</v>
      </c>
      <c r="AT45" s="61" t="n">
        <f aca="false">IF(OR(N45="",TodayDay=""),IF(N45="",S45,0),IF(N45&lt;TodayDay,S45,0))</f>
        <v>0</v>
      </c>
    </row>
    <row r="46" customFormat="false" ht="15" hidden="false" customHeight="false" outlineLevel="0" collapsed="false">
      <c r="A46" s="23"/>
      <c r="B46" s="23"/>
      <c r="C46" s="23"/>
      <c r="D46" s="56"/>
      <c r="E46" s="23"/>
      <c r="F46" s="23"/>
      <c r="G46" s="23"/>
      <c r="H46" s="23"/>
      <c r="I46" s="56"/>
      <c r="J46" s="23"/>
      <c r="K46" s="28"/>
      <c r="L46" s="23"/>
      <c r="M46" s="23"/>
      <c r="N46" s="25" t="str">
        <f aca="false">IF(A46="","",IF(LEFT(A46,3)="Pre",0,IFERROR(VALUE(MID(A46,5,FIND(" ",A46&amp;" ",5)-5)),"")))</f>
        <v/>
      </c>
      <c r="O46" s="57" t="str">
        <f aca="false">IF(N46="","",IF(N46=0,"Before trip",IF(TripStart="","",TripStart+N46-1)))</f>
        <v/>
      </c>
      <c r="P46" s="58" t="str">
        <f aca="false">IF(AND(D46="",I46=""),"",IF(OR(E46="",E46=HomeCcy),1,IFERROR(INDEX(Setup!$J$26:$J$33,MATCH(E46,Setup!$G$26:$G$33,0)),IFERROR(INDEX(Settings!$S$5:$S$64,MATCH(E46,Settings!$R$5:$R$64,0))/HomeINR,1))))</f>
        <v/>
      </c>
      <c r="Q46" s="34" t="str">
        <f aca="false">IF(D46="","",D46*P46)</f>
        <v/>
      </c>
      <c r="R46" s="34" t="str">
        <f aca="false">IF(I46="","",I46*P46)</f>
        <v/>
      </c>
      <c r="S46" s="33" t="n">
        <f aca="false">IF(H46="Cancelled",0,IF(R46&lt;&gt;"",R46,IF(Q46&lt;&gt;"",Q46,0)))</f>
        <v>0</v>
      </c>
      <c r="T46" s="45" t="str">
        <f aca="false">IF(S46=0,"",IF(SUM(AE46:AN46)=0,"⚠ nobody picked",COUNTIF(AE46:AN46,"&gt;0")&amp;" people"))</f>
        <v/>
      </c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60" t="n">
        <f aca="false">IF(OR($S46=0,Setup!$B$18=""),0,IF(OR($G46="",$G46="Everyone"),1,IF($G46="Custom",N(U46),IF(OR($G46=Setup!$B$18,AND(Setup!$C$18&lt;&gt;"",$G46=Setup!$C$18)),1,0))))</f>
        <v>0</v>
      </c>
      <c r="AF46" s="60" t="n">
        <f aca="false">IF(OR($S46=0,Setup!$B$19=""),0,IF(OR($G46="",$G46="Everyone"),1,IF($G46="Custom",N(V46),IF(OR($G46=Setup!$B$19,AND(Setup!$C$19&lt;&gt;"",$G46=Setup!$C$19)),1,0))))</f>
        <v>0</v>
      </c>
      <c r="AG46" s="60" t="n">
        <f aca="false">IF(OR($S46=0,Setup!$B$20=""),0,IF(OR($G46="",$G46="Everyone"),1,IF($G46="Custom",N(W46),IF(OR($G46=Setup!$B$20,AND(Setup!$C$20&lt;&gt;"",$G46=Setup!$C$20)),1,0))))</f>
        <v>0</v>
      </c>
      <c r="AH46" s="60" t="n">
        <f aca="false">IF(OR($S46=0,Setup!$B$21=""),0,IF(OR($G46="",$G46="Everyone"),1,IF($G46="Custom",N(X46),IF(OR($G46=Setup!$B$21,AND(Setup!$C$21&lt;&gt;"",$G46=Setup!$C$21)),1,0))))</f>
        <v>0</v>
      </c>
      <c r="AI46" s="60" t="n">
        <f aca="false">IF(OR($S46=0,Setup!$B$22=""),0,IF(OR($G46="",$G46="Everyone"),1,IF($G46="Custom",N(Y46),IF(OR($G46=Setup!$B$22,AND(Setup!$C$22&lt;&gt;"",$G46=Setup!$C$22)),1,0))))</f>
        <v>0</v>
      </c>
      <c r="AJ46" s="60" t="n">
        <f aca="false">IF(OR($S46=0,Setup!$B$23=""),0,IF(OR($G46="",$G46="Everyone"),1,IF($G46="Custom",N(Z46),IF(OR($G46=Setup!$B$23,AND(Setup!$C$23&lt;&gt;"",$G46=Setup!$C$23)),1,0))))</f>
        <v>0</v>
      </c>
      <c r="AK46" s="60" t="n">
        <f aca="false">IF(OR($S46=0,Setup!$B$24=""),0,IF(OR($G46="",$G46="Everyone"),1,IF($G46="Custom",N(AA46),IF(OR($G46=Setup!$B$24,AND(Setup!$C$24&lt;&gt;"",$G46=Setup!$C$24)),1,0))))</f>
        <v>0</v>
      </c>
      <c r="AL46" s="60" t="n">
        <f aca="false">IF(OR($S46=0,Setup!$B$25=""),0,IF(OR($G46="",$G46="Everyone"),1,IF($G46="Custom",N(AB46),IF(OR($G46=Setup!$B$25,AND(Setup!$C$25&lt;&gt;"",$G46=Setup!$C$25)),1,0))))</f>
        <v>0</v>
      </c>
      <c r="AM46" s="60" t="n">
        <f aca="false">IF(OR($S46=0,Setup!$B$26=""),0,IF(OR($G46="",$G46="Everyone"),1,IF($G46="Custom",N(AC46),IF(OR($G46=Setup!$B$26,AND(Setup!$C$26&lt;&gt;"",$G46=Setup!$C$26)),1,0))))</f>
        <v>0</v>
      </c>
      <c r="AN46" s="60" t="n">
        <f aca="false">IF(OR($S46=0,Setup!$B$27=""),0,IF(OR($G46="",$G46="Everyone"),1,IF($G46="Custom",N(AD46),IF(OR($G46=Setup!$B$27,AND(Setup!$C$27&lt;&gt;"",$G46=Setup!$C$27)),1,0))))</f>
        <v>0</v>
      </c>
      <c r="AO46" s="60" t="n">
        <f aca="false">IF(SUM(AE46:AN46)=0,1,SUM(AE46:AN46))</f>
        <v>1</v>
      </c>
      <c r="AP46" s="60" t="n">
        <f aca="false">IF(H46="Paid",1,0)</f>
        <v>0</v>
      </c>
      <c r="AQ46" s="60" t="n">
        <f aca="false">IF(AND(S46&gt;0,SUM(AE46:AN46)=0),S46,0)</f>
        <v>0</v>
      </c>
      <c r="AR46" s="60" t="str">
        <f aca="false">IF(AND(N46&lt;&gt;"",TodayDay&lt;&gt;"",N46=TodayDay),COUNTIF($N$6:N46,TodayDay),"")</f>
        <v/>
      </c>
      <c r="AS46" s="60" t="n">
        <f aca="false">IF(B46="",0,IF(COUNTIFS(Settings!$A$5:$A$29,B46,Settings!$B$5:$B$29,"Yes")&gt;0,1,0))</f>
        <v>0</v>
      </c>
      <c r="AT46" s="61" t="n">
        <f aca="false">IF(OR(N46="",TodayDay=""),IF(N46="",S46,0),IF(N46&lt;TodayDay,S46,0))</f>
        <v>0</v>
      </c>
    </row>
    <row r="47" customFormat="false" ht="15" hidden="false" customHeight="false" outlineLevel="0" collapsed="false">
      <c r="A47" s="23"/>
      <c r="B47" s="23"/>
      <c r="C47" s="23"/>
      <c r="D47" s="56"/>
      <c r="E47" s="23"/>
      <c r="F47" s="23"/>
      <c r="G47" s="23"/>
      <c r="H47" s="23"/>
      <c r="I47" s="56"/>
      <c r="J47" s="23"/>
      <c r="K47" s="28"/>
      <c r="L47" s="23"/>
      <c r="M47" s="23"/>
      <c r="N47" s="25" t="str">
        <f aca="false">IF(A47="","",IF(LEFT(A47,3)="Pre",0,IFERROR(VALUE(MID(A47,5,FIND(" ",A47&amp;" ",5)-5)),"")))</f>
        <v/>
      </c>
      <c r="O47" s="57" t="str">
        <f aca="false">IF(N47="","",IF(N47=0,"Before trip",IF(TripStart="","",TripStart+N47-1)))</f>
        <v/>
      </c>
      <c r="P47" s="58" t="str">
        <f aca="false">IF(AND(D47="",I47=""),"",IF(OR(E47="",E47=HomeCcy),1,IFERROR(INDEX(Setup!$J$26:$J$33,MATCH(E47,Setup!$G$26:$G$33,0)),IFERROR(INDEX(Settings!$S$5:$S$64,MATCH(E47,Settings!$R$5:$R$64,0))/HomeINR,1))))</f>
        <v/>
      </c>
      <c r="Q47" s="34" t="str">
        <f aca="false">IF(D47="","",D47*P47)</f>
        <v/>
      </c>
      <c r="R47" s="34" t="str">
        <f aca="false">IF(I47="","",I47*P47)</f>
        <v/>
      </c>
      <c r="S47" s="33" t="n">
        <f aca="false">IF(H47="Cancelled",0,IF(R47&lt;&gt;"",R47,IF(Q47&lt;&gt;"",Q47,0)))</f>
        <v>0</v>
      </c>
      <c r="T47" s="45" t="str">
        <f aca="false">IF(S47=0,"",IF(SUM(AE47:AN47)=0,"⚠ nobody picked",COUNTIF(AE47:AN47,"&gt;0")&amp;" people"))</f>
        <v/>
      </c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60" t="n">
        <f aca="false">IF(OR($S47=0,Setup!$B$18=""),0,IF(OR($G47="",$G47="Everyone"),1,IF($G47="Custom",N(U47),IF(OR($G47=Setup!$B$18,AND(Setup!$C$18&lt;&gt;"",$G47=Setup!$C$18)),1,0))))</f>
        <v>0</v>
      </c>
      <c r="AF47" s="60" t="n">
        <f aca="false">IF(OR($S47=0,Setup!$B$19=""),0,IF(OR($G47="",$G47="Everyone"),1,IF($G47="Custom",N(V47),IF(OR($G47=Setup!$B$19,AND(Setup!$C$19&lt;&gt;"",$G47=Setup!$C$19)),1,0))))</f>
        <v>0</v>
      </c>
      <c r="AG47" s="60" t="n">
        <f aca="false">IF(OR($S47=0,Setup!$B$20=""),0,IF(OR($G47="",$G47="Everyone"),1,IF($G47="Custom",N(W47),IF(OR($G47=Setup!$B$20,AND(Setup!$C$20&lt;&gt;"",$G47=Setup!$C$20)),1,0))))</f>
        <v>0</v>
      </c>
      <c r="AH47" s="60" t="n">
        <f aca="false">IF(OR($S47=0,Setup!$B$21=""),0,IF(OR($G47="",$G47="Everyone"),1,IF($G47="Custom",N(X47),IF(OR($G47=Setup!$B$21,AND(Setup!$C$21&lt;&gt;"",$G47=Setup!$C$21)),1,0))))</f>
        <v>0</v>
      </c>
      <c r="AI47" s="60" t="n">
        <f aca="false">IF(OR($S47=0,Setup!$B$22=""),0,IF(OR($G47="",$G47="Everyone"),1,IF($G47="Custom",N(Y47),IF(OR($G47=Setup!$B$22,AND(Setup!$C$22&lt;&gt;"",$G47=Setup!$C$22)),1,0))))</f>
        <v>0</v>
      </c>
      <c r="AJ47" s="60" t="n">
        <f aca="false">IF(OR($S47=0,Setup!$B$23=""),0,IF(OR($G47="",$G47="Everyone"),1,IF($G47="Custom",N(Z47),IF(OR($G47=Setup!$B$23,AND(Setup!$C$23&lt;&gt;"",$G47=Setup!$C$23)),1,0))))</f>
        <v>0</v>
      </c>
      <c r="AK47" s="60" t="n">
        <f aca="false">IF(OR($S47=0,Setup!$B$24=""),0,IF(OR($G47="",$G47="Everyone"),1,IF($G47="Custom",N(AA47),IF(OR($G47=Setup!$B$24,AND(Setup!$C$24&lt;&gt;"",$G47=Setup!$C$24)),1,0))))</f>
        <v>0</v>
      </c>
      <c r="AL47" s="60" t="n">
        <f aca="false">IF(OR($S47=0,Setup!$B$25=""),0,IF(OR($G47="",$G47="Everyone"),1,IF($G47="Custom",N(AB47),IF(OR($G47=Setup!$B$25,AND(Setup!$C$25&lt;&gt;"",$G47=Setup!$C$25)),1,0))))</f>
        <v>0</v>
      </c>
      <c r="AM47" s="60" t="n">
        <f aca="false">IF(OR($S47=0,Setup!$B$26=""),0,IF(OR($G47="",$G47="Everyone"),1,IF($G47="Custom",N(AC47),IF(OR($G47=Setup!$B$26,AND(Setup!$C$26&lt;&gt;"",$G47=Setup!$C$26)),1,0))))</f>
        <v>0</v>
      </c>
      <c r="AN47" s="60" t="n">
        <f aca="false">IF(OR($S47=0,Setup!$B$27=""),0,IF(OR($G47="",$G47="Everyone"),1,IF($G47="Custom",N(AD47),IF(OR($G47=Setup!$B$27,AND(Setup!$C$27&lt;&gt;"",$G47=Setup!$C$27)),1,0))))</f>
        <v>0</v>
      </c>
      <c r="AO47" s="60" t="n">
        <f aca="false">IF(SUM(AE47:AN47)=0,1,SUM(AE47:AN47))</f>
        <v>1</v>
      </c>
      <c r="AP47" s="60" t="n">
        <f aca="false">IF(H47="Paid",1,0)</f>
        <v>0</v>
      </c>
      <c r="AQ47" s="60" t="n">
        <f aca="false">IF(AND(S47&gt;0,SUM(AE47:AN47)=0),S47,0)</f>
        <v>0</v>
      </c>
      <c r="AR47" s="60" t="str">
        <f aca="false">IF(AND(N47&lt;&gt;"",TodayDay&lt;&gt;"",N47=TodayDay),COUNTIF($N$6:N47,TodayDay),"")</f>
        <v/>
      </c>
      <c r="AS47" s="60" t="n">
        <f aca="false">IF(B47="",0,IF(COUNTIFS(Settings!$A$5:$A$29,B47,Settings!$B$5:$B$29,"Yes")&gt;0,1,0))</f>
        <v>0</v>
      </c>
      <c r="AT47" s="61" t="n">
        <f aca="false">IF(OR(N47="",TodayDay=""),IF(N47="",S47,0),IF(N47&lt;TodayDay,S47,0))</f>
        <v>0</v>
      </c>
    </row>
    <row r="48" customFormat="false" ht="15" hidden="false" customHeight="false" outlineLevel="0" collapsed="false">
      <c r="A48" s="23"/>
      <c r="B48" s="23"/>
      <c r="C48" s="23"/>
      <c r="D48" s="56"/>
      <c r="E48" s="23"/>
      <c r="F48" s="23"/>
      <c r="G48" s="23"/>
      <c r="H48" s="23"/>
      <c r="I48" s="56"/>
      <c r="J48" s="23"/>
      <c r="K48" s="28"/>
      <c r="L48" s="23"/>
      <c r="M48" s="23"/>
      <c r="N48" s="25" t="str">
        <f aca="false">IF(A48="","",IF(LEFT(A48,3)="Pre",0,IFERROR(VALUE(MID(A48,5,FIND(" ",A48&amp;" ",5)-5)),"")))</f>
        <v/>
      </c>
      <c r="O48" s="57" t="str">
        <f aca="false">IF(N48="","",IF(N48=0,"Before trip",IF(TripStart="","",TripStart+N48-1)))</f>
        <v/>
      </c>
      <c r="P48" s="58" t="str">
        <f aca="false">IF(AND(D48="",I48=""),"",IF(OR(E48="",E48=HomeCcy),1,IFERROR(INDEX(Setup!$J$26:$J$33,MATCH(E48,Setup!$G$26:$G$33,0)),IFERROR(INDEX(Settings!$S$5:$S$64,MATCH(E48,Settings!$R$5:$R$64,0))/HomeINR,1))))</f>
        <v/>
      </c>
      <c r="Q48" s="34" t="str">
        <f aca="false">IF(D48="","",D48*P48)</f>
        <v/>
      </c>
      <c r="R48" s="34" t="str">
        <f aca="false">IF(I48="","",I48*P48)</f>
        <v/>
      </c>
      <c r="S48" s="33" t="n">
        <f aca="false">IF(H48="Cancelled",0,IF(R48&lt;&gt;"",R48,IF(Q48&lt;&gt;"",Q48,0)))</f>
        <v>0</v>
      </c>
      <c r="T48" s="45" t="str">
        <f aca="false">IF(S48=0,"",IF(SUM(AE48:AN48)=0,"⚠ nobody picked",COUNTIF(AE48:AN48,"&gt;0")&amp;" people"))</f>
        <v/>
      </c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60" t="n">
        <f aca="false">IF(OR($S48=0,Setup!$B$18=""),0,IF(OR($G48="",$G48="Everyone"),1,IF($G48="Custom",N(U48),IF(OR($G48=Setup!$B$18,AND(Setup!$C$18&lt;&gt;"",$G48=Setup!$C$18)),1,0))))</f>
        <v>0</v>
      </c>
      <c r="AF48" s="60" t="n">
        <f aca="false">IF(OR($S48=0,Setup!$B$19=""),0,IF(OR($G48="",$G48="Everyone"),1,IF($G48="Custom",N(V48),IF(OR($G48=Setup!$B$19,AND(Setup!$C$19&lt;&gt;"",$G48=Setup!$C$19)),1,0))))</f>
        <v>0</v>
      </c>
      <c r="AG48" s="60" t="n">
        <f aca="false">IF(OR($S48=0,Setup!$B$20=""),0,IF(OR($G48="",$G48="Everyone"),1,IF($G48="Custom",N(W48),IF(OR($G48=Setup!$B$20,AND(Setup!$C$20&lt;&gt;"",$G48=Setup!$C$20)),1,0))))</f>
        <v>0</v>
      </c>
      <c r="AH48" s="60" t="n">
        <f aca="false">IF(OR($S48=0,Setup!$B$21=""),0,IF(OR($G48="",$G48="Everyone"),1,IF($G48="Custom",N(X48),IF(OR($G48=Setup!$B$21,AND(Setup!$C$21&lt;&gt;"",$G48=Setup!$C$21)),1,0))))</f>
        <v>0</v>
      </c>
      <c r="AI48" s="60" t="n">
        <f aca="false">IF(OR($S48=0,Setup!$B$22=""),0,IF(OR($G48="",$G48="Everyone"),1,IF($G48="Custom",N(Y48),IF(OR($G48=Setup!$B$22,AND(Setup!$C$22&lt;&gt;"",$G48=Setup!$C$22)),1,0))))</f>
        <v>0</v>
      </c>
      <c r="AJ48" s="60" t="n">
        <f aca="false">IF(OR($S48=0,Setup!$B$23=""),0,IF(OR($G48="",$G48="Everyone"),1,IF($G48="Custom",N(Z48),IF(OR($G48=Setup!$B$23,AND(Setup!$C$23&lt;&gt;"",$G48=Setup!$C$23)),1,0))))</f>
        <v>0</v>
      </c>
      <c r="AK48" s="60" t="n">
        <f aca="false">IF(OR($S48=0,Setup!$B$24=""),0,IF(OR($G48="",$G48="Everyone"),1,IF($G48="Custom",N(AA48),IF(OR($G48=Setup!$B$24,AND(Setup!$C$24&lt;&gt;"",$G48=Setup!$C$24)),1,0))))</f>
        <v>0</v>
      </c>
      <c r="AL48" s="60" t="n">
        <f aca="false">IF(OR($S48=0,Setup!$B$25=""),0,IF(OR($G48="",$G48="Everyone"),1,IF($G48="Custom",N(AB48),IF(OR($G48=Setup!$B$25,AND(Setup!$C$25&lt;&gt;"",$G48=Setup!$C$25)),1,0))))</f>
        <v>0</v>
      </c>
      <c r="AM48" s="60" t="n">
        <f aca="false">IF(OR($S48=0,Setup!$B$26=""),0,IF(OR($G48="",$G48="Everyone"),1,IF($G48="Custom",N(AC48),IF(OR($G48=Setup!$B$26,AND(Setup!$C$26&lt;&gt;"",$G48=Setup!$C$26)),1,0))))</f>
        <v>0</v>
      </c>
      <c r="AN48" s="60" t="n">
        <f aca="false">IF(OR($S48=0,Setup!$B$27=""),0,IF(OR($G48="",$G48="Everyone"),1,IF($G48="Custom",N(AD48),IF(OR($G48=Setup!$B$27,AND(Setup!$C$27&lt;&gt;"",$G48=Setup!$C$27)),1,0))))</f>
        <v>0</v>
      </c>
      <c r="AO48" s="60" t="n">
        <f aca="false">IF(SUM(AE48:AN48)=0,1,SUM(AE48:AN48))</f>
        <v>1</v>
      </c>
      <c r="AP48" s="60" t="n">
        <f aca="false">IF(H48="Paid",1,0)</f>
        <v>0</v>
      </c>
      <c r="AQ48" s="60" t="n">
        <f aca="false">IF(AND(S48&gt;0,SUM(AE48:AN48)=0),S48,0)</f>
        <v>0</v>
      </c>
      <c r="AR48" s="60" t="str">
        <f aca="false">IF(AND(N48&lt;&gt;"",TodayDay&lt;&gt;"",N48=TodayDay),COUNTIF($N$6:N48,TodayDay),"")</f>
        <v/>
      </c>
      <c r="AS48" s="60" t="n">
        <f aca="false">IF(B48="",0,IF(COUNTIFS(Settings!$A$5:$A$29,B48,Settings!$B$5:$B$29,"Yes")&gt;0,1,0))</f>
        <v>0</v>
      </c>
      <c r="AT48" s="61" t="n">
        <f aca="false">IF(OR(N48="",TodayDay=""),IF(N48="",S48,0),IF(N48&lt;TodayDay,S48,0))</f>
        <v>0</v>
      </c>
    </row>
    <row r="49" customFormat="false" ht="15" hidden="false" customHeight="false" outlineLevel="0" collapsed="false">
      <c r="A49" s="23"/>
      <c r="B49" s="23"/>
      <c r="C49" s="23"/>
      <c r="D49" s="56"/>
      <c r="E49" s="23"/>
      <c r="F49" s="23"/>
      <c r="G49" s="23"/>
      <c r="H49" s="23"/>
      <c r="I49" s="56"/>
      <c r="J49" s="23"/>
      <c r="K49" s="28"/>
      <c r="L49" s="23"/>
      <c r="M49" s="23"/>
      <c r="N49" s="25" t="str">
        <f aca="false">IF(A49="","",IF(LEFT(A49,3)="Pre",0,IFERROR(VALUE(MID(A49,5,FIND(" ",A49&amp;" ",5)-5)),"")))</f>
        <v/>
      </c>
      <c r="O49" s="57" t="str">
        <f aca="false">IF(N49="","",IF(N49=0,"Before trip",IF(TripStart="","",TripStart+N49-1)))</f>
        <v/>
      </c>
      <c r="P49" s="58" t="str">
        <f aca="false">IF(AND(D49="",I49=""),"",IF(OR(E49="",E49=HomeCcy),1,IFERROR(INDEX(Setup!$J$26:$J$33,MATCH(E49,Setup!$G$26:$G$33,0)),IFERROR(INDEX(Settings!$S$5:$S$64,MATCH(E49,Settings!$R$5:$R$64,0))/HomeINR,1))))</f>
        <v/>
      </c>
      <c r="Q49" s="34" t="str">
        <f aca="false">IF(D49="","",D49*P49)</f>
        <v/>
      </c>
      <c r="R49" s="34" t="str">
        <f aca="false">IF(I49="","",I49*P49)</f>
        <v/>
      </c>
      <c r="S49" s="33" t="n">
        <f aca="false">IF(H49="Cancelled",0,IF(R49&lt;&gt;"",R49,IF(Q49&lt;&gt;"",Q49,0)))</f>
        <v>0</v>
      </c>
      <c r="T49" s="45" t="str">
        <f aca="false">IF(S49=0,"",IF(SUM(AE49:AN49)=0,"⚠ nobody picked",COUNTIF(AE49:AN49,"&gt;0")&amp;" people"))</f>
        <v/>
      </c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60" t="n">
        <f aca="false">IF(OR($S49=0,Setup!$B$18=""),0,IF(OR($G49="",$G49="Everyone"),1,IF($G49="Custom",N(U49),IF(OR($G49=Setup!$B$18,AND(Setup!$C$18&lt;&gt;"",$G49=Setup!$C$18)),1,0))))</f>
        <v>0</v>
      </c>
      <c r="AF49" s="60" t="n">
        <f aca="false">IF(OR($S49=0,Setup!$B$19=""),0,IF(OR($G49="",$G49="Everyone"),1,IF($G49="Custom",N(V49),IF(OR($G49=Setup!$B$19,AND(Setup!$C$19&lt;&gt;"",$G49=Setup!$C$19)),1,0))))</f>
        <v>0</v>
      </c>
      <c r="AG49" s="60" t="n">
        <f aca="false">IF(OR($S49=0,Setup!$B$20=""),0,IF(OR($G49="",$G49="Everyone"),1,IF($G49="Custom",N(W49),IF(OR($G49=Setup!$B$20,AND(Setup!$C$20&lt;&gt;"",$G49=Setup!$C$20)),1,0))))</f>
        <v>0</v>
      </c>
      <c r="AH49" s="60" t="n">
        <f aca="false">IF(OR($S49=0,Setup!$B$21=""),0,IF(OR($G49="",$G49="Everyone"),1,IF($G49="Custom",N(X49),IF(OR($G49=Setup!$B$21,AND(Setup!$C$21&lt;&gt;"",$G49=Setup!$C$21)),1,0))))</f>
        <v>0</v>
      </c>
      <c r="AI49" s="60" t="n">
        <f aca="false">IF(OR($S49=0,Setup!$B$22=""),0,IF(OR($G49="",$G49="Everyone"),1,IF($G49="Custom",N(Y49),IF(OR($G49=Setup!$B$22,AND(Setup!$C$22&lt;&gt;"",$G49=Setup!$C$22)),1,0))))</f>
        <v>0</v>
      </c>
      <c r="AJ49" s="60" t="n">
        <f aca="false">IF(OR($S49=0,Setup!$B$23=""),0,IF(OR($G49="",$G49="Everyone"),1,IF($G49="Custom",N(Z49),IF(OR($G49=Setup!$B$23,AND(Setup!$C$23&lt;&gt;"",$G49=Setup!$C$23)),1,0))))</f>
        <v>0</v>
      </c>
      <c r="AK49" s="60" t="n">
        <f aca="false">IF(OR($S49=0,Setup!$B$24=""),0,IF(OR($G49="",$G49="Everyone"),1,IF($G49="Custom",N(AA49),IF(OR($G49=Setup!$B$24,AND(Setup!$C$24&lt;&gt;"",$G49=Setup!$C$24)),1,0))))</f>
        <v>0</v>
      </c>
      <c r="AL49" s="60" t="n">
        <f aca="false">IF(OR($S49=0,Setup!$B$25=""),0,IF(OR($G49="",$G49="Everyone"),1,IF($G49="Custom",N(AB49),IF(OR($G49=Setup!$B$25,AND(Setup!$C$25&lt;&gt;"",$G49=Setup!$C$25)),1,0))))</f>
        <v>0</v>
      </c>
      <c r="AM49" s="60" t="n">
        <f aca="false">IF(OR($S49=0,Setup!$B$26=""),0,IF(OR($G49="",$G49="Everyone"),1,IF($G49="Custom",N(AC49),IF(OR($G49=Setup!$B$26,AND(Setup!$C$26&lt;&gt;"",$G49=Setup!$C$26)),1,0))))</f>
        <v>0</v>
      </c>
      <c r="AN49" s="60" t="n">
        <f aca="false">IF(OR($S49=0,Setup!$B$27=""),0,IF(OR($G49="",$G49="Everyone"),1,IF($G49="Custom",N(AD49),IF(OR($G49=Setup!$B$27,AND(Setup!$C$27&lt;&gt;"",$G49=Setup!$C$27)),1,0))))</f>
        <v>0</v>
      </c>
      <c r="AO49" s="60" t="n">
        <f aca="false">IF(SUM(AE49:AN49)=0,1,SUM(AE49:AN49))</f>
        <v>1</v>
      </c>
      <c r="AP49" s="60" t="n">
        <f aca="false">IF(H49="Paid",1,0)</f>
        <v>0</v>
      </c>
      <c r="AQ49" s="60" t="n">
        <f aca="false">IF(AND(S49&gt;0,SUM(AE49:AN49)=0),S49,0)</f>
        <v>0</v>
      </c>
      <c r="AR49" s="60" t="str">
        <f aca="false">IF(AND(N49&lt;&gt;"",TodayDay&lt;&gt;"",N49=TodayDay),COUNTIF($N$6:N49,TodayDay),"")</f>
        <v/>
      </c>
      <c r="AS49" s="60" t="n">
        <f aca="false">IF(B49="",0,IF(COUNTIFS(Settings!$A$5:$A$29,B49,Settings!$B$5:$B$29,"Yes")&gt;0,1,0))</f>
        <v>0</v>
      </c>
      <c r="AT49" s="61" t="n">
        <f aca="false">IF(OR(N49="",TodayDay=""),IF(N49="",S49,0),IF(N49&lt;TodayDay,S49,0))</f>
        <v>0</v>
      </c>
    </row>
    <row r="50" customFormat="false" ht="15" hidden="false" customHeight="false" outlineLevel="0" collapsed="false">
      <c r="A50" s="23"/>
      <c r="B50" s="23"/>
      <c r="C50" s="23"/>
      <c r="D50" s="56"/>
      <c r="E50" s="23"/>
      <c r="F50" s="23"/>
      <c r="G50" s="23"/>
      <c r="H50" s="23"/>
      <c r="I50" s="56"/>
      <c r="J50" s="23"/>
      <c r="K50" s="28"/>
      <c r="L50" s="23"/>
      <c r="M50" s="23"/>
      <c r="N50" s="25" t="str">
        <f aca="false">IF(A50="","",IF(LEFT(A50,3)="Pre",0,IFERROR(VALUE(MID(A50,5,FIND(" ",A50&amp;" ",5)-5)),"")))</f>
        <v/>
      </c>
      <c r="O50" s="57" t="str">
        <f aca="false">IF(N50="","",IF(N50=0,"Before trip",IF(TripStart="","",TripStart+N50-1)))</f>
        <v/>
      </c>
      <c r="P50" s="58" t="str">
        <f aca="false">IF(AND(D50="",I50=""),"",IF(OR(E50="",E50=HomeCcy),1,IFERROR(INDEX(Setup!$J$26:$J$33,MATCH(E50,Setup!$G$26:$G$33,0)),IFERROR(INDEX(Settings!$S$5:$S$64,MATCH(E50,Settings!$R$5:$R$64,0))/HomeINR,1))))</f>
        <v/>
      </c>
      <c r="Q50" s="34" t="str">
        <f aca="false">IF(D50="","",D50*P50)</f>
        <v/>
      </c>
      <c r="R50" s="34" t="str">
        <f aca="false">IF(I50="","",I50*P50)</f>
        <v/>
      </c>
      <c r="S50" s="33" t="n">
        <f aca="false">IF(H50="Cancelled",0,IF(R50&lt;&gt;"",R50,IF(Q50&lt;&gt;"",Q50,0)))</f>
        <v>0</v>
      </c>
      <c r="T50" s="45" t="str">
        <f aca="false">IF(S50=0,"",IF(SUM(AE50:AN50)=0,"⚠ nobody picked",COUNTIF(AE50:AN50,"&gt;0")&amp;" people"))</f>
        <v/>
      </c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60" t="n">
        <f aca="false">IF(OR($S50=0,Setup!$B$18=""),0,IF(OR($G50="",$G50="Everyone"),1,IF($G50="Custom",N(U50),IF(OR($G50=Setup!$B$18,AND(Setup!$C$18&lt;&gt;"",$G50=Setup!$C$18)),1,0))))</f>
        <v>0</v>
      </c>
      <c r="AF50" s="60" t="n">
        <f aca="false">IF(OR($S50=0,Setup!$B$19=""),0,IF(OR($G50="",$G50="Everyone"),1,IF($G50="Custom",N(V50),IF(OR($G50=Setup!$B$19,AND(Setup!$C$19&lt;&gt;"",$G50=Setup!$C$19)),1,0))))</f>
        <v>0</v>
      </c>
      <c r="AG50" s="60" t="n">
        <f aca="false">IF(OR($S50=0,Setup!$B$20=""),0,IF(OR($G50="",$G50="Everyone"),1,IF($G50="Custom",N(W50),IF(OR($G50=Setup!$B$20,AND(Setup!$C$20&lt;&gt;"",$G50=Setup!$C$20)),1,0))))</f>
        <v>0</v>
      </c>
      <c r="AH50" s="60" t="n">
        <f aca="false">IF(OR($S50=0,Setup!$B$21=""),0,IF(OR($G50="",$G50="Everyone"),1,IF($G50="Custom",N(X50),IF(OR($G50=Setup!$B$21,AND(Setup!$C$21&lt;&gt;"",$G50=Setup!$C$21)),1,0))))</f>
        <v>0</v>
      </c>
      <c r="AI50" s="60" t="n">
        <f aca="false">IF(OR($S50=0,Setup!$B$22=""),0,IF(OR($G50="",$G50="Everyone"),1,IF($G50="Custom",N(Y50),IF(OR($G50=Setup!$B$22,AND(Setup!$C$22&lt;&gt;"",$G50=Setup!$C$22)),1,0))))</f>
        <v>0</v>
      </c>
      <c r="AJ50" s="60" t="n">
        <f aca="false">IF(OR($S50=0,Setup!$B$23=""),0,IF(OR($G50="",$G50="Everyone"),1,IF($G50="Custom",N(Z50),IF(OR($G50=Setup!$B$23,AND(Setup!$C$23&lt;&gt;"",$G50=Setup!$C$23)),1,0))))</f>
        <v>0</v>
      </c>
      <c r="AK50" s="60" t="n">
        <f aca="false">IF(OR($S50=0,Setup!$B$24=""),0,IF(OR($G50="",$G50="Everyone"),1,IF($G50="Custom",N(AA50),IF(OR($G50=Setup!$B$24,AND(Setup!$C$24&lt;&gt;"",$G50=Setup!$C$24)),1,0))))</f>
        <v>0</v>
      </c>
      <c r="AL50" s="60" t="n">
        <f aca="false">IF(OR($S50=0,Setup!$B$25=""),0,IF(OR($G50="",$G50="Everyone"),1,IF($G50="Custom",N(AB50),IF(OR($G50=Setup!$B$25,AND(Setup!$C$25&lt;&gt;"",$G50=Setup!$C$25)),1,0))))</f>
        <v>0</v>
      </c>
      <c r="AM50" s="60" t="n">
        <f aca="false">IF(OR($S50=0,Setup!$B$26=""),0,IF(OR($G50="",$G50="Everyone"),1,IF($G50="Custom",N(AC50),IF(OR($G50=Setup!$B$26,AND(Setup!$C$26&lt;&gt;"",$G50=Setup!$C$26)),1,0))))</f>
        <v>0</v>
      </c>
      <c r="AN50" s="60" t="n">
        <f aca="false">IF(OR($S50=0,Setup!$B$27=""),0,IF(OR($G50="",$G50="Everyone"),1,IF($G50="Custom",N(AD50),IF(OR($G50=Setup!$B$27,AND(Setup!$C$27&lt;&gt;"",$G50=Setup!$C$27)),1,0))))</f>
        <v>0</v>
      </c>
      <c r="AO50" s="60" t="n">
        <f aca="false">IF(SUM(AE50:AN50)=0,1,SUM(AE50:AN50))</f>
        <v>1</v>
      </c>
      <c r="AP50" s="60" t="n">
        <f aca="false">IF(H50="Paid",1,0)</f>
        <v>0</v>
      </c>
      <c r="AQ50" s="60" t="n">
        <f aca="false">IF(AND(S50&gt;0,SUM(AE50:AN50)=0),S50,0)</f>
        <v>0</v>
      </c>
      <c r="AR50" s="60" t="str">
        <f aca="false">IF(AND(N50&lt;&gt;"",TodayDay&lt;&gt;"",N50=TodayDay),COUNTIF($N$6:N50,TodayDay),"")</f>
        <v/>
      </c>
      <c r="AS50" s="60" t="n">
        <f aca="false">IF(B50="",0,IF(COUNTIFS(Settings!$A$5:$A$29,B50,Settings!$B$5:$B$29,"Yes")&gt;0,1,0))</f>
        <v>0</v>
      </c>
      <c r="AT50" s="61" t="n">
        <f aca="false">IF(OR(N50="",TodayDay=""),IF(N50="",S50,0),IF(N50&lt;TodayDay,S50,0))</f>
        <v>0</v>
      </c>
    </row>
    <row r="51" customFormat="false" ht="15" hidden="false" customHeight="false" outlineLevel="0" collapsed="false">
      <c r="A51" s="23"/>
      <c r="B51" s="23"/>
      <c r="C51" s="23"/>
      <c r="D51" s="56"/>
      <c r="E51" s="23"/>
      <c r="F51" s="23"/>
      <c r="G51" s="23"/>
      <c r="H51" s="23"/>
      <c r="I51" s="56"/>
      <c r="J51" s="23"/>
      <c r="K51" s="28"/>
      <c r="L51" s="23"/>
      <c r="M51" s="23"/>
      <c r="N51" s="25" t="str">
        <f aca="false">IF(A51="","",IF(LEFT(A51,3)="Pre",0,IFERROR(VALUE(MID(A51,5,FIND(" ",A51&amp;" ",5)-5)),"")))</f>
        <v/>
      </c>
      <c r="O51" s="57" t="str">
        <f aca="false">IF(N51="","",IF(N51=0,"Before trip",IF(TripStart="","",TripStart+N51-1)))</f>
        <v/>
      </c>
      <c r="P51" s="58" t="str">
        <f aca="false">IF(AND(D51="",I51=""),"",IF(OR(E51="",E51=HomeCcy),1,IFERROR(INDEX(Setup!$J$26:$J$33,MATCH(E51,Setup!$G$26:$G$33,0)),IFERROR(INDEX(Settings!$S$5:$S$64,MATCH(E51,Settings!$R$5:$R$64,0))/HomeINR,1))))</f>
        <v/>
      </c>
      <c r="Q51" s="34" t="str">
        <f aca="false">IF(D51="","",D51*P51)</f>
        <v/>
      </c>
      <c r="R51" s="34" t="str">
        <f aca="false">IF(I51="","",I51*P51)</f>
        <v/>
      </c>
      <c r="S51" s="33" t="n">
        <f aca="false">IF(H51="Cancelled",0,IF(R51&lt;&gt;"",R51,IF(Q51&lt;&gt;"",Q51,0)))</f>
        <v>0</v>
      </c>
      <c r="T51" s="45" t="str">
        <f aca="false">IF(S51=0,"",IF(SUM(AE51:AN51)=0,"⚠ nobody picked",COUNTIF(AE51:AN51,"&gt;0")&amp;" people"))</f>
        <v/>
      </c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60" t="n">
        <f aca="false">IF(OR($S51=0,Setup!$B$18=""),0,IF(OR($G51="",$G51="Everyone"),1,IF($G51="Custom",N(U51),IF(OR($G51=Setup!$B$18,AND(Setup!$C$18&lt;&gt;"",$G51=Setup!$C$18)),1,0))))</f>
        <v>0</v>
      </c>
      <c r="AF51" s="60" t="n">
        <f aca="false">IF(OR($S51=0,Setup!$B$19=""),0,IF(OR($G51="",$G51="Everyone"),1,IF($G51="Custom",N(V51),IF(OR($G51=Setup!$B$19,AND(Setup!$C$19&lt;&gt;"",$G51=Setup!$C$19)),1,0))))</f>
        <v>0</v>
      </c>
      <c r="AG51" s="60" t="n">
        <f aca="false">IF(OR($S51=0,Setup!$B$20=""),0,IF(OR($G51="",$G51="Everyone"),1,IF($G51="Custom",N(W51),IF(OR($G51=Setup!$B$20,AND(Setup!$C$20&lt;&gt;"",$G51=Setup!$C$20)),1,0))))</f>
        <v>0</v>
      </c>
      <c r="AH51" s="60" t="n">
        <f aca="false">IF(OR($S51=0,Setup!$B$21=""),0,IF(OR($G51="",$G51="Everyone"),1,IF($G51="Custom",N(X51),IF(OR($G51=Setup!$B$21,AND(Setup!$C$21&lt;&gt;"",$G51=Setup!$C$21)),1,0))))</f>
        <v>0</v>
      </c>
      <c r="AI51" s="60" t="n">
        <f aca="false">IF(OR($S51=0,Setup!$B$22=""),0,IF(OR($G51="",$G51="Everyone"),1,IF($G51="Custom",N(Y51),IF(OR($G51=Setup!$B$22,AND(Setup!$C$22&lt;&gt;"",$G51=Setup!$C$22)),1,0))))</f>
        <v>0</v>
      </c>
      <c r="AJ51" s="60" t="n">
        <f aca="false">IF(OR($S51=0,Setup!$B$23=""),0,IF(OR($G51="",$G51="Everyone"),1,IF($G51="Custom",N(Z51),IF(OR($G51=Setup!$B$23,AND(Setup!$C$23&lt;&gt;"",$G51=Setup!$C$23)),1,0))))</f>
        <v>0</v>
      </c>
      <c r="AK51" s="60" t="n">
        <f aca="false">IF(OR($S51=0,Setup!$B$24=""),0,IF(OR($G51="",$G51="Everyone"),1,IF($G51="Custom",N(AA51),IF(OR($G51=Setup!$B$24,AND(Setup!$C$24&lt;&gt;"",$G51=Setup!$C$24)),1,0))))</f>
        <v>0</v>
      </c>
      <c r="AL51" s="60" t="n">
        <f aca="false">IF(OR($S51=0,Setup!$B$25=""),0,IF(OR($G51="",$G51="Everyone"),1,IF($G51="Custom",N(AB51),IF(OR($G51=Setup!$B$25,AND(Setup!$C$25&lt;&gt;"",$G51=Setup!$C$25)),1,0))))</f>
        <v>0</v>
      </c>
      <c r="AM51" s="60" t="n">
        <f aca="false">IF(OR($S51=0,Setup!$B$26=""),0,IF(OR($G51="",$G51="Everyone"),1,IF($G51="Custom",N(AC51),IF(OR($G51=Setup!$B$26,AND(Setup!$C$26&lt;&gt;"",$G51=Setup!$C$26)),1,0))))</f>
        <v>0</v>
      </c>
      <c r="AN51" s="60" t="n">
        <f aca="false">IF(OR($S51=0,Setup!$B$27=""),0,IF(OR($G51="",$G51="Everyone"),1,IF($G51="Custom",N(AD51),IF(OR($G51=Setup!$B$27,AND(Setup!$C$27&lt;&gt;"",$G51=Setup!$C$27)),1,0))))</f>
        <v>0</v>
      </c>
      <c r="AO51" s="60" t="n">
        <f aca="false">IF(SUM(AE51:AN51)=0,1,SUM(AE51:AN51))</f>
        <v>1</v>
      </c>
      <c r="AP51" s="60" t="n">
        <f aca="false">IF(H51="Paid",1,0)</f>
        <v>0</v>
      </c>
      <c r="AQ51" s="60" t="n">
        <f aca="false">IF(AND(S51&gt;0,SUM(AE51:AN51)=0),S51,0)</f>
        <v>0</v>
      </c>
      <c r="AR51" s="60" t="str">
        <f aca="false">IF(AND(N51&lt;&gt;"",TodayDay&lt;&gt;"",N51=TodayDay),COUNTIF($N$6:N51,TodayDay),"")</f>
        <v/>
      </c>
      <c r="AS51" s="60" t="n">
        <f aca="false">IF(B51="",0,IF(COUNTIFS(Settings!$A$5:$A$29,B51,Settings!$B$5:$B$29,"Yes")&gt;0,1,0))</f>
        <v>0</v>
      </c>
      <c r="AT51" s="61" t="n">
        <f aca="false">IF(OR(N51="",TodayDay=""),IF(N51="",S51,0),IF(N51&lt;TodayDay,S51,0))</f>
        <v>0</v>
      </c>
    </row>
    <row r="52" customFormat="false" ht="15" hidden="false" customHeight="false" outlineLevel="0" collapsed="false">
      <c r="A52" s="23"/>
      <c r="B52" s="23"/>
      <c r="C52" s="23"/>
      <c r="D52" s="56"/>
      <c r="E52" s="23"/>
      <c r="F52" s="23"/>
      <c r="G52" s="23"/>
      <c r="H52" s="23"/>
      <c r="I52" s="56"/>
      <c r="J52" s="23"/>
      <c r="K52" s="28"/>
      <c r="L52" s="23"/>
      <c r="M52" s="23"/>
      <c r="N52" s="25" t="str">
        <f aca="false">IF(A52="","",IF(LEFT(A52,3)="Pre",0,IFERROR(VALUE(MID(A52,5,FIND(" ",A52&amp;" ",5)-5)),"")))</f>
        <v/>
      </c>
      <c r="O52" s="57" t="str">
        <f aca="false">IF(N52="","",IF(N52=0,"Before trip",IF(TripStart="","",TripStart+N52-1)))</f>
        <v/>
      </c>
      <c r="P52" s="58" t="str">
        <f aca="false">IF(AND(D52="",I52=""),"",IF(OR(E52="",E52=HomeCcy),1,IFERROR(INDEX(Setup!$J$26:$J$33,MATCH(E52,Setup!$G$26:$G$33,0)),IFERROR(INDEX(Settings!$S$5:$S$64,MATCH(E52,Settings!$R$5:$R$64,0))/HomeINR,1))))</f>
        <v/>
      </c>
      <c r="Q52" s="34" t="str">
        <f aca="false">IF(D52="","",D52*P52)</f>
        <v/>
      </c>
      <c r="R52" s="34" t="str">
        <f aca="false">IF(I52="","",I52*P52)</f>
        <v/>
      </c>
      <c r="S52" s="33" t="n">
        <f aca="false">IF(H52="Cancelled",0,IF(R52&lt;&gt;"",R52,IF(Q52&lt;&gt;"",Q52,0)))</f>
        <v>0</v>
      </c>
      <c r="T52" s="45" t="str">
        <f aca="false">IF(S52=0,"",IF(SUM(AE52:AN52)=0,"⚠ nobody picked",COUNTIF(AE52:AN52,"&gt;0")&amp;" people"))</f>
        <v/>
      </c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60" t="n">
        <f aca="false">IF(OR($S52=0,Setup!$B$18=""),0,IF(OR($G52="",$G52="Everyone"),1,IF($G52="Custom",N(U52),IF(OR($G52=Setup!$B$18,AND(Setup!$C$18&lt;&gt;"",$G52=Setup!$C$18)),1,0))))</f>
        <v>0</v>
      </c>
      <c r="AF52" s="60" t="n">
        <f aca="false">IF(OR($S52=0,Setup!$B$19=""),0,IF(OR($G52="",$G52="Everyone"),1,IF($G52="Custom",N(V52),IF(OR($G52=Setup!$B$19,AND(Setup!$C$19&lt;&gt;"",$G52=Setup!$C$19)),1,0))))</f>
        <v>0</v>
      </c>
      <c r="AG52" s="60" t="n">
        <f aca="false">IF(OR($S52=0,Setup!$B$20=""),0,IF(OR($G52="",$G52="Everyone"),1,IF($G52="Custom",N(W52),IF(OR($G52=Setup!$B$20,AND(Setup!$C$20&lt;&gt;"",$G52=Setup!$C$20)),1,0))))</f>
        <v>0</v>
      </c>
      <c r="AH52" s="60" t="n">
        <f aca="false">IF(OR($S52=0,Setup!$B$21=""),0,IF(OR($G52="",$G52="Everyone"),1,IF($G52="Custom",N(X52),IF(OR($G52=Setup!$B$21,AND(Setup!$C$21&lt;&gt;"",$G52=Setup!$C$21)),1,0))))</f>
        <v>0</v>
      </c>
      <c r="AI52" s="60" t="n">
        <f aca="false">IF(OR($S52=0,Setup!$B$22=""),0,IF(OR($G52="",$G52="Everyone"),1,IF($G52="Custom",N(Y52),IF(OR($G52=Setup!$B$22,AND(Setup!$C$22&lt;&gt;"",$G52=Setup!$C$22)),1,0))))</f>
        <v>0</v>
      </c>
      <c r="AJ52" s="60" t="n">
        <f aca="false">IF(OR($S52=0,Setup!$B$23=""),0,IF(OR($G52="",$G52="Everyone"),1,IF($G52="Custom",N(Z52),IF(OR($G52=Setup!$B$23,AND(Setup!$C$23&lt;&gt;"",$G52=Setup!$C$23)),1,0))))</f>
        <v>0</v>
      </c>
      <c r="AK52" s="60" t="n">
        <f aca="false">IF(OR($S52=0,Setup!$B$24=""),0,IF(OR($G52="",$G52="Everyone"),1,IF($G52="Custom",N(AA52),IF(OR($G52=Setup!$B$24,AND(Setup!$C$24&lt;&gt;"",$G52=Setup!$C$24)),1,0))))</f>
        <v>0</v>
      </c>
      <c r="AL52" s="60" t="n">
        <f aca="false">IF(OR($S52=0,Setup!$B$25=""),0,IF(OR($G52="",$G52="Everyone"),1,IF($G52="Custom",N(AB52),IF(OR($G52=Setup!$B$25,AND(Setup!$C$25&lt;&gt;"",$G52=Setup!$C$25)),1,0))))</f>
        <v>0</v>
      </c>
      <c r="AM52" s="60" t="n">
        <f aca="false">IF(OR($S52=0,Setup!$B$26=""),0,IF(OR($G52="",$G52="Everyone"),1,IF($G52="Custom",N(AC52),IF(OR($G52=Setup!$B$26,AND(Setup!$C$26&lt;&gt;"",$G52=Setup!$C$26)),1,0))))</f>
        <v>0</v>
      </c>
      <c r="AN52" s="60" t="n">
        <f aca="false">IF(OR($S52=0,Setup!$B$27=""),0,IF(OR($G52="",$G52="Everyone"),1,IF($G52="Custom",N(AD52),IF(OR($G52=Setup!$B$27,AND(Setup!$C$27&lt;&gt;"",$G52=Setup!$C$27)),1,0))))</f>
        <v>0</v>
      </c>
      <c r="AO52" s="60" t="n">
        <f aca="false">IF(SUM(AE52:AN52)=0,1,SUM(AE52:AN52))</f>
        <v>1</v>
      </c>
      <c r="AP52" s="60" t="n">
        <f aca="false">IF(H52="Paid",1,0)</f>
        <v>0</v>
      </c>
      <c r="AQ52" s="60" t="n">
        <f aca="false">IF(AND(S52&gt;0,SUM(AE52:AN52)=0),S52,0)</f>
        <v>0</v>
      </c>
      <c r="AR52" s="60" t="str">
        <f aca="false">IF(AND(N52&lt;&gt;"",TodayDay&lt;&gt;"",N52=TodayDay),COUNTIF($N$6:N52,TodayDay),"")</f>
        <v/>
      </c>
      <c r="AS52" s="60" t="n">
        <f aca="false">IF(B52="",0,IF(COUNTIFS(Settings!$A$5:$A$29,B52,Settings!$B$5:$B$29,"Yes")&gt;0,1,0))</f>
        <v>0</v>
      </c>
      <c r="AT52" s="61" t="n">
        <f aca="false">IF(OR(N52="",TodayDay=""),IF(N52="",S52,0),IF(N52&lt;TodayDay,S52,0))</f>
        <v>0</v>
      </c>
    </row>
    <row r="53" customFormat="false" ht="15" hidden="false" customHeight="false" outlineLevel="0" collapsed="false">
      <c r="A53" s="23"/>
      <c r="B53" s="23"/>
      <c r="C53" s="23"/>
      <c r="D53" s="56"/>
      <c r="E53" s="23"/>
      <c r="F53" s="23"/>
      <c r="G53" s="23"/>
      <c r="H53" s="23"/>
      <c r="I53" s="56"/>
      <c r="J53" s="23"/>
      <c r="K53" s="28"/>
      <c r="L53" s="23"/>
      <c r="M53" s="23"/>
      <c r="N53" s="25" t="str">
        <f aca="false">IF(A53="","",IF(LEFT(A53,3)="Pre",0,IFERROR(VALUE(MID(A53,5,FIND(" ",A53&amp;" ",5)-5)),"")))</f>
        <v/>
      </c>
      <c r="O53" s="57" t="str">
        <f aca="false">IF(N53="","",IF(N53=0,"Before trip",IF(TripStart="","",TripStart+N53-1)))</f>
        <v/>
      </c>
      <c r="P53" s="58" t="str">
        <f aca="false">IF(AND(D53="",I53=""),"",IF(OR(E53="",E53=HomeCcy),1,IFERROR(INDEX(Setup!$J$26:$J$33,MATCH(E53,Setup!$G$26:$G$33,0)),IFERROR(INDEX(Settings!$S$5:$S$64,MATCH(E53,Settings!$R$5:$R$64,0))/HomeINR,1))))</f>
        <v/>
      </c>
      <c r="Q53" s="34" t="str">
        <f aca="false">IF(D53="","",D53*P53)</f>
        <v/>
      </c>
      <c r="R53" s="34" t="str">
        <f aca="false">IF(I53="","",I53*P53)</f>
        <v/>
      </c>
      <c r="S53" s="33" t="n">
        <f aca="false">IF(H53="Cancelled",0,IF(R53&lt;&gt;"",R53,IF(Q53&lt;&gt;"",Q53,0)))</f>
        <v>0</v>
      </c>
      <c r="T53" s="45" t="str">
        <f aca="false">IF(S53=0,"",IF(SUM(AE53:AN53)=0,"⚠ nobody picked",COUNTIF(AE53:AN53,"&gt;0")&amp;" people"))</f>
        <v/>
      </c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 t="n">
        <f aca="false">IF(OR($S53=0,Setup!$B$18=""),0,IF(OR($G53="",$G53="Everyone"),1,IF($G53="Custom",N(U53),IF(OR($G53=Setup!$B$18,AND(Setup!$C$18&lt;&gt;"",$G53=Setup!$C$18)),1,0))))</f>
        <v>0</v>
      </c>
      <c r="AF53" s="60" t="n">
        <f aca="false">IF(OR($S53=0,Setup!$B$19=""),0,IF(OR($G53="",$G53="Everyone"),1,IF($G53="Custom",N(V53),IF(OR($G53=Setup!$B$19,AND(Setup!$C$19&lt;&gt;"",$G53=Setup!$C$19)),1,0))))</f>
        <v>0</v>
      </c>
      <c r="AG53" s="60" t="n">
        <f aca="false">IF(OR($S53=0,Setup!$B$20=""),0,IF(OR($G53="",$G53="Everyone"),1,IF($G53="Custom",N(W53),IF(OR($G53=Setup!$B$20,AND(Setup!$C$20&lt;&gt;"",$G53=Setup!$C$20)),1,0))))</f>
        <v>0</v>
      </c>
      <c r="AH53" s="60" t="n">
        <f aca="false">IF(OR($S53=0,Setup!$B$21=""),0,IF(OR($G53="",$G53="Everyone"),1,IF($G53="Custom",N(X53),IF(OR($G53=Setup!$B$21,AND(Setup!$C$21&lt;&gt;"",$G53=Setup!$C$21)),1,0))))</f>
        <v>0</v>
      </c>
      <c r="AI53" s="60" t="n">
        <f aca="false">IF(OR($S53=0,Setup!$B$22=""),0,IF(OR($G53="",$G53="Everyone"),1,IF($G53="Custom",N(Y53),IF(OR($G53=Setup!$B$22,AND(Setup!$C$22&lt;&gt;"",$G53=Setup!$C$22)),1,0))))</f>
        <v>0</v>
      </c>
      <c r="AJ53" s="60" t="n">
        <f aca="false">IF(OR($S53=0,Setup!$B$23=""),0,IF(OR($G53="",$G53="Everyone"),1,IF($G53="Custom",N(Z53),IF(OR($G53=Setup!$B$23,AND(Setup!$C$23&lt;&gt;"",$G53=Setup!$C$23)),1,0))))</f>
        <v>0</v>
      </c>
      <c r="AK53" s="60" t="n">
        <f aca="false">IF(OR($S53=0,Setup!$B$24=""),0,IF(OR($G53="",$G53="Everyone"),1,IF($G53="Custom",N(AA53),IF(OR($G53=Setup!$B$24,AND(Setup!$C$24&lt;&gt;"",$G53=Setup!$C$24)),1,0))))</f>
        <v>0</v>
      </c>
      <c r="AL53" s="60" t="n">
        <f aca="false">IF(OR($S53=0,Setup!$B$25=""),0,IF(OR($G53="",$G53="Everyone"),1,IF($G53="Custom",N(AB53),IF(OR($G53=Setup!$B$25,AND(Setup!$C$25&lt;&gt;"",$G53=Setup!$C$25)),1,0))))</f>
        <v>0</v>
      </c>
      <c r="AM53" s="60" t="n">
        <f aca="false">IF(OR($S53=0,Setup!$B$26=""),0,IF(OR($G53="",$G53="Everyone"),1,IF($G53="Custom",N(AC53),IF(OR($G53=Setup!$B$26,AND(Setup!$C$26&lt;&gt;"",$G53=Setup!$C$26)),1,0))))</f>
        <v>0</v>
      </c>
      <c r="AN53" s="60" t="n">
        <f aca="false">IF(OR($S53=0,Setup!$B$27=""),0,IF(OR($G53="",$G53="Everyone"),1,IF($G53="Custom",N(AD53),IF(OR($G53=Setup!$B$27,AND(Setup!$C$27&lt;&gt;"",$G53=Setup!$C$27)),1,0))))</f>
        <v>0</v>
      </c>
      <c r="AO53" s="60" t="n">
        <f aca="false">IF(SUM(AE53:AN53)=0,1,SUM(AE53:AN53))</f>
        <v>1</v>
      </c>
      <c r="AP53" s="60" t="n">
        <f aca="false">IF(H53="Paid",1,0)</f>
        <v>0</v>
      </c>
      <c r="AQ53" s="60" t="n">
        <f aca="false">IF(AND(S53&gt;0,SUM(AE53:AN53)=0),S53,0)</f>
        <v>0</v>
      </c>
      <c r="AR53" s="60" t="str">
        <f aca="false">IF(AND(N53&lt;&gt;"",TodayDay&lt;&gt;"",N53=TodayDay),COUNTIF($N$6:N53,TodayDay),"")</f>
        <v/>
      </c>
      <c r="AS53" s="60" t="n">
        <f aca="false">IF(B53="",0,IF(COUNTIFS(Settings!$A$5:$A$29,B53,Settings!$B$5:$B$29,"Yes")&gt;0,1,0))</f>
        <v>0</v>
      </c>
      <c r="AT53" s="61" t="n">
        <f aca="false">IF(OR(N53="",TodayDay=""),IF(N53="",S53,0),IF(N53&lt;TodayDay,S53,0))</f>
        <v>0</v>
      </c>
    </row>
    <row r="54" customFormat="false" ht="15" hidden="false" customHeight="false" outlineLevel="0" collapsed="false">
      <c r="A54" s="23"/>
      <c r="B54" s="23"/>
      <c r="C54" s="23"/>
      <c r="D54" s="56"/>
      <c r="E54" s="23"/>
      <c r="F54" s="23"/>
      <c r="G54" s="23"/>
      <c r="H54" s="23"/>
      <c r="I54" s="56"/>
      <c r="J54" s="23"/>
      <c r="K54" s="28"/>
      <c r="L54" s="23"/>
      <c r="M54" s="23"/>
      <c r="N54" s="25" t="str">
        <f aca="false">IF(A54="","",IF(LEFT(A54,3)="Pre",0,IFERROR(VALUE(MID(A54,5,FIND(" ",A54&amp;" ",5)-5)),"")))</f>
        <v/>
      </c>
      <c r="O54" s="57" t="str">
        <f aca="false">IF(N54="","",IF(N54=0,"Before trip",IF(TripStart="","",TripStart+N54-1)))</f>
        <v/>
      </c>
      <c r="P54" s="58" t="str">
        <f aca="false">IF(AND(D54="",I54=""),"",IF(OR(E54="",E54=HomeCcy),1,IFERROR(INDEX(Setup!$J$26:$J$33,MATCH(E54,Setup!$G$26:$G$33,0)),IFERROR(INDEX(Settings!$S$5:$S$64,MATCH(E54,Settings!$R$5:$R$64,0))/HomeINR,1))))</f>
        <v/>
      </c>
      <c r="Q54" s="34" t="str">
        <f aca="false">IF(D54="","",D54*P54)</f>
        <v/>
      </c>
      <c r="R54" s="34" t="str">
        <f aca="false">IF(I54="","",I54*P54)</f>
        <v/>
      </c>
      <c r="S54" s="33" t="n">
        <f aca="false">IF(H54="Cancelled",0,IF(R54&lt;&gt;"",R54,IF(Q54&lt;&gt;"",Q54,0)))</f>
        <v>0</v>
      </c>
      <c r="T54" s="45" t="str">
        <f aca="false">IF(S54=0,"",IF(SUM(AE54:AN54)=0,"⚠ nobody picked",COUNTIF(AE54:AN54,"&gt;0")&amp;" people"))</f>
        <v/>
      </c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60" t="n">
        <f aca="false">IF(OR($S54=0,Setup!$B$18=""),0,IF(OR($G54="",$G54="Everyone"),1,IF($G54="Custom",N(U54),IF(OR($G54=Setup!$B$18,AND(Setup!$C$18&lt;&gt;"",$G54=Setup!$C$18)),1,0))))</f>
        <v>0</v>
      </c>
      <c r="AF54" s="60" t="n">
        <f aca="false">IF(OR($S54=0,Setup!$B$19=""),0,IF(OR($G54="",$G54="Everyone"),1,IF($G54="Custom",N(V54),IF(OR($G54=Setup!$B$19,AND(Setup!$C$19&lt;&gt;"",$G54=Setup!$C$19)),1,0))))</f>
        <v>0</v>
      </c>
      <c r="AG54" s="60" t="n">
        <f aca="false">IF(OR($S54=0,Setup!$B$20=""),0,IF(OR($G54="",$G54="Everyone"),1,IF($G54="Custom",N(W54),IF(OR($G54=Setup!$B$20,AND(Setup!$C$20&lt;&gt;"",$G54=Setup!$C$20)),1,0))))</f>
        <v>0</v>
      </c>
      <c r="AH54" s="60" t="n">
        <f aca="false">IF(OR($S54=0,Setup!$B$21=""),0,IF(OR($G54="",$G54="Everyone"),1,IF($G54="Custom",N(X54),IF(OR($G54=Setup!$B$21,AND(Setup!$C$21&lt;&gt;"",$G54=Setup!$C$21)),1,0))))</f>
        <v>0</v>
      </c>
      <c r="AI54" s="60" t="n">
        <f aca="false">IF(OR($S54=0,Setup!$B$22=""),0,IF(OR($G54="",$G54="Everyone"),1,IF($G54="Custom",N(Y54),IF(OR($G54=Setup!$B$22,AND(Setup!$C$22&lt;&gt;"",$G54=Setup!$C$22)),1,0))))</f>
        <v>0</v>
      </c>
      <c r="AJ54" s="60" t="n">
        <f aca="false">IF(OR($S54=0,Setup!$B$23=""),0,IF(OR($G54="",$G54="Everyone"),1,IF($G54="Custom",N(Z54),IF(OR($G54=Setup!$B$23,AND(Setup!$C$23&lt;&gt;"",$G54=Setup!$C$23)),1,0))))</f>
        <v>0</v>
      </c>
      <c r="AK54" s="60" t="n">
        <f aca="false">IF(OR($S54=0,Setup!$B$24=""),0,IF(OR($G54="",$G54="Everyone"),1,IF($G54="Custom",N(AA54),IF(OR($G54=Setup!$B$24,AND(Setup!$C$24&lt;&gt;"",$G54=Setup!$C$24)),1,0))))</f>
        <v>0</v>
      </c>
      <c r="AL54" s="60" t="n">
        <f aca="false">IF(OR($S54=0,Setup!$B$25=""),0,IF(OR($G54="",$G54="Everyone"),1,IF($G54="Custom",N(AB54),IF(OR($G54=Setup!$B$25,AND(Setup!$C$25&lt;&gt;"",$G54=Setup!$C$25)),1,0))))</f>
        <v>0</v>
      </c>
      <c r="AM54" s="60" t="n">
        <f aca="false">IF(OR($S54=0,Setup!$B$26=""),0,IF(OR($G54="",$G54="Everyone"),1,IF($G54="Custom",N(AC54),IF(OR($G54=Setup!$B$26,AND(Setup!$C$26&lt;&gt;"",$G54=Setup!$C$26)),1,0))))</f>
        <v>0</v>
      </c>
      <c r="AN54" s="60" t="n">
        <f aca="false">IF(OR($S54=0,Setup!$B$27=""),0,IF(OR($G54="",$G54="Everyone"),1,IF($G54="Custom",N(AD54),IF(OR($G54=Setup!$B$27,AND(Setup!$C$27&lt;&gt;"",$G54=Setup!$C$27)),1,0))))</f>
        <v>0</v>
      </c>
      <c r="AO54" s="60" t="n">
        <f aca="false">IF(SUM(AE54:AN54)=0,1,SUM(AE54:AN54))</f>
        <v>1</v>
      </c>
      <c r="AP54" s="60" t="n">
        <f aca="false">IF(H54="Paid",1,0)</f>
        <v>0</v>
      </c>
      <c r="AQ54" s="60" t="n">
        <f aca="false">IF(AND(S54&gt;0,SUM(AE54:AN54)=0),S54,0)</f>
        <v>0</v>
      </c>
      <c r="AR54" s="60" t="str">
        <f aca="false">IF(AND(N54&lt;&gt;"",TodayDay&lt;&gt;"",N54=TodayDay),COUNTIF($N$6:N54,TodayDay),"")</f>
        <v/>
      </c>
      <c r="AS54" s="60" t="n">
        <f aca="false">IF(B54="",0,IF(COUNTIFS(Settings!$A$5:$A$29,B54,Settings!$B$5:$B$29,"Yes")&gt;0,1,0))</f>
        <v>0</v>
      </c>
      <c r="AT54" s="61" t="n">
        <f aca="false">IF(OR(N54="",TodayDay=""),IF(N54="",S54,0),IF(N54&lt;TodayDay,S54,0))</f>
        <v>0</v>
      </c>
    </row>
    <row r="55" customFormat="false" ht="15" hidden="false" customHeight="false" outlineLevel="0" collapsed="false">
      <c r="A55" s="23"/>
      <c r="B55" s="23"/>
      <c r="C55" s="23"/>
      <c r="D55" s="56"/>
      <c r="E55" s="23"/>
      <c r="F55" s="23"/>
      <c r="G55" s="23"/>
      <c r="H55" s="23"/>
      <c r="I55" s="56"/>
      <c r="J55" s="23"/>
      <c r="K55" s="28"/>
      <c r="L55" s="23"/>
      <c r="M55" s="23"/>
      <c r="N55" s="25" t="str">
        <f aca="false">IF(A55="","",IF(LEFT(A55,3)="Pre",0,IFERROR(VALUE(MID(A55,5,FIND(" ",A55&amp;" ",5)-5)),"")))</f>
        <v/>
      </c>
      <c r="O55" s="57" t="str">
        <f aca="false">IF(N55="","",IF(N55=0,"Before trip",IF(TripStart="","",TripStart+N55-1)))</f>
        <v/>
      </c>
      <c r="P55" s="58" t="str">
        <f aca="false">IF(AND(D55="",I55=""),"",IF(OR(E55="",E55=HomeCcy),1,IFERROR(INDEX(Setup!$J$26:$J$33,MATCH(E55,Setup!$G$26:$G$33,0)),IFERROR(INDEX(Settings!$S$5:$S$64,MATCH(E55,Settings!$R$5:$R$64,0))/HomeINR,1))))</f>
        <v/>
      </c>
      <c r="Q55" s="34" t="str">
        <f aca="false">IF(D55="","",D55*P55)</f>
        <v/>
      </c>
      <c r="R55" s="34" t="str">
        <f aca="false">IF(I55="","",I55*P55)</f>
        <v/>
      </c>
      <c r="S55" s="33" t="n">
        <f aca="false">IF(H55="Cancelled",0,IF(R55&lt;&gt;"",R55,IF(Q55&lt;&gt;"",Q55,0)))</f>
        <v>0</v>
      </c>
      <c r="T55" s="45" t="str">
        <f aca="false">IF(S55=0,"",IF(SUM(AE55:AN55)=0,"⚠ nobody picked",COUNTIF(AE55:AN55,"&gt;0")&amp;" people"))</f>
        <v/>
      </c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60" t="n">
        <f aca="false">IF(OR($S55=0,Setup!$B$18=""),0,IF(OR($G55="",$G55="Everyone"),1,IF($G55="Custom",N(U55),IF(OR($G55=Setup!$B$18,AND(Setup!$C$18&lt;&gt;"",$G55=Setup!$C$18)),1,0))))</f>
        <v>0</v>
      </c>
      <c r="AF55" s="60" t="n">
        <f aca="false">IF(OR($S55=0,Setup!$B$19=""),0,IF(OR($G55="",$G55="Everyone"),1,IF($G55="Custom",N(V55),IF(OR($G55=Setup!$B$19,AND(Setup!$C$19&lt;&gt;"",$G55=Setup!$C$19)),1,0))))</f>
        <v>0</v>
      </c>
      <c r="AG55" s="60" t="n">
        <f aca="false">IF(OR($S55=0,Setup!$B$20=""),0,IF(OR($G55="",$G55="Everyone"),1,IF($G55="Custom",N(W55),IF(OR($G55=Setup!$B$20,AND(Setup!$C$20&lt;&gt;"",$G55=Setup!$C$20)),1,0))))</f>
        <v>0</v>
      </c>
      <c r="AH55" s="60" t="n">
        <f aca="false">IF(OR($S55=0,Setup!$B$21=""),0,IF(OR($G55="",$G55="Everyone"),1,IF($G55="Custom",N(X55),IF(OR($G55=Setup!$B$21,AND(Setup!$C$21&lt;&gt;"",$G55=Setup!$C$21)),1,0))))</f>
        <v>0</v>
      </c>
      <c r="AI55" s="60" t="n">
        <f aca="false">IF(OR($S55=0,Setup!$B$22=""),0,IF(OR($G55="",$G55="Everyone"),1,IF($G55="Custom",N(Y55),IF(OR($G55=Setup!$B$22,AND(Setup!$C$22&lt;&gt;"",$G55=Setup!$C$22)),1,0))))</f>
        <v>0</v>
      </c>
      <c r="AJ55" s="60" t="n">
        <f aca="false">IF(OR($S55=0,Setup!$B$23=""),0,IF(OR($G55="",$G55="Everyone"),1,IF($G55="Custom",N(Z55),IF(OR($G55=Setup!$B$23,AND(Setup!$C$23&lt;&gt;"",$G55=Setup!$C$23)),1,0))))</f>
        <v>0</v>
      </c>
      <c r="AK55" s="60" t="n">
        <f aca="false">IF(OR($S55=0,Setup!$B$24=""),0,IF(OR($G55="",$G55="Everyone"),1,IF($G55="Custom",N(AA55),IF(OR($G55=Setup!$B$24,AND(Setup!$C$24&lt;&gt;"",$G55=Setup!$C$24)),1,0))))</f>
        <v>0</v>
      </c>
      <c r="AL55" s="60" t="n">
        <f aca="false">IF(OR($S55=0,Setup!$B$25=""),0,IF(OR($G55="",$G55="Everyone"),1,IF($G55="Custom",N(AB55),IF(OR($G55=Setup!$B$25,AND(Setup!$C$25&lt;&gt;"",$G55=Setup!$C$25)),1,0))))</f>
        <v>0</v>
      </c>
      <c r="AM55" s="60" t="n">
        <f aca="false">IF(OR($S55=0,Setup!$B$26=""),0,IF(OR($G55="",$G55="Everyone"),1,IF($G55="Custom",N(AC55),IF(OR($G55=Setup!$B$26,AND(Setup!$C$26&lt;&gt;"",$G55=Setup!$C$26)),1,0))))</f>
        <v>0</v>
      </c>
      <c r="AN55" s="60" t="n">
        <f aca="false">IF(OR($S55=0,Setup!$B$27=""),0,IF(OR($G55="",$G55="Everyone"),1,IF($G55="Custom",N(AD55),IF(OR($G55=Setup!$B$27,AND(Setup!$C$27&lt;&gt;"",$G55=Setup!$C$27)),1,0))))</f>
        <v>0</v>
      </c>
      <c r="AO55" s="60" t="n">
        <f aca="false">IF(SUM(AE55:AN55)=0,1,SUM(AE55:AN55))</f>
        <v>1</v>
      </c>
      <c r="AP55" s="60" t="n">
        <f aca="false">IF(H55="Paid",1,0)</f>
        <v>0</v>
      </c>
      <c r="AQ55" s="60" t="n">
        <f aca="false">IF(AND(S55&gt;0,SUM(AE55:AN55)=0),S55,0)</f>
        <v>0</v>
      </c>
      <c r="AR55" s="60" t="str">
        <f aca="false">IF(AND(N55&lt;&gt;"",TodayDay&lt;&gt;"",N55=TodayDay),COUNTIF($N$6:N55,TodayDay),"")</f>
        <v/>
      </c>
      <c r="AS55" s="60" t="n">
        <f aca="false">IF(B55="",0,IF(COUNTIFS(Settings!$A$5:$A$29,B55,Settings!$B$5:$B$29,"Yes")&gt;0,1,0))</f>
        <v>0</v>
      </c>
      <c r="AT55" s="61" t="n">
        <f aca="false">IF(OR(N55="",TodayDay=""),IF(N55="",S55,0),IF(N55&lt;TodayDay,S55,0))</f>
        <v>0</v>
      </c>
    </row>
    <row r="56" customFormat="false" ht="15" hidden="false" customHeight="false" outlineLevel="0" collapsed="false">
      <c r="A56" s="23"/>
      <c r="B56" s="23"/>
      <c r="C56" s="23"/>
      <c r="D56" s="56"/>
      <c r="E56" s="23"/>
      <c r="F56" s="23"/>
      <c r="G56" s="23"/>
      <c r="H56" s="23"/>
      <c r="I56" s="56"/>
      <c r="J56" s="23"/>
      <c r="K56" s="28"/>
      <c r="L56" s="23"/>
      <c r="M56" s="23"/>
      <c r="N56" s="25" t="str">
        <f aca="false">IF(A56="","",IF(LEFT(A56,3)="Pre",0,IFERROR(VALUE(MID(A56,5,FIND(" ",A56&amp;" ",5)-5)),"")))</f>
        <v/>
      </c>
      <c r="O56" s="57" t="str">
        <f aca="false">IF(N56="","",IF(N56=0,"Before trip",IF(TripStart="","",TripStart+N56-1)))</f>
        <v/>
      </c>
      <c r="P56" s="58" t="str">
        <f aca="false">IF(AND(D56="",I56=""),"",IF(OR(E56="",E56=HomeCcy),1,IFERROR(INDEX(Setup!$J$26:$J$33,MATCH(E56,Setup!$G$26:$G$33,0)),IFERROR(INDEX(Settings!$S$5:$S$64,MATCH(E56,Settings!$R$5:$R$64,0))/HomeINR,1))))</f>
        <v/>
      </c>
      <c r="Q56" s="34" t="str">
        <f aca="false">IF(D56="","",D56*P56)</f>
        <v/>
      </c>
      <c r="R56" s="34" t="str">
        <f aca="false">IF(I56="","",I56*P56)</f>
        <v/>
      </c>
      <c r="S56" s="33" t="n">
        <f aca="false">IF(H56="Cancelled",0,IF(R56&lt;&gt;"",R56,IF(Q56&lt;&gt;"",Q56,0)))</f>
        <v>0</v>
      </c>
      <c r="T56" s="45" t="str">
        <f aca="false">IF(S56=0,"",IF(SUM(AE56:AN56)=0,"⚠ nobody picked",COUNTIF(AE56:AN56,"&gt;0")&amp;" people"))</f>
        <v/>
      </c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60" t="n">
        <f aca="false">IF(OR($S56=0,Setup!$B$18=""),0,IF(OR($G56="",$G56="Everyone"),1,IF($G56="Custom",N(U56),IF(OR($G56=Setup!$B$18,AND(Setup!$C$18&lt;&gt;"",$G56=Setup!$C$18)),1,0))))</f>
        <v>0</v>
      </c>
      <c r="AF56" s="60" t="n">
        <f aca="false">IF(OR($S56=0,Setup!$B$19=""),0,IF(OR($G56="",$G56="Everyone"),1,IF($G56="Custom",N(V56),IF(OR($G56=Setup!$B$19,AND(Setup!$C$19&lt;&gt;"",$G56=Setup!$C$19)),1,0))))</f>
        <v>0</v>
      </c>
      <c r="AG56" s="60" t="n">
        <f aca="false">IF(OR($S56=0,Setup!$B$20=""),0,IF(OR($G56="",$G56="Everyone"),1,IF($G56="Custom",N(W56),IF(OR($G56=Setup!$B$20,AND(Setup!$C$20&lt;&gt;"",$G56=Setup!$C$20)),1,0))))</f>
        <v>0</v>
      </c>
      <c r="AH56" s="60" t="n">
        <f aca="false">IF(OR($S56=0,Setup!$B$21=""),0,IF(OR($G56="",$G56="Everyone"),1,IF($G56="Custom",N(X56),IF(OR($G56=Setup!$B$21,AND(Setup!$C$21&lt;&gt;"",$G56=Setup!$C$21)),1,0))))</f>
        <v>0</v>
      </c>
      <c r="AI56" s="60" t="n">
        <f aca="false">IF(OR($S56=0,Setup!$B$22=""),0,IF(OR($G56="",$G56="Everyone"),1,IF($G56="Custom",N(Y56),IF(OR($G56=Setup!$B$22,AND(Setup!$C$22&lt;&gt;"",$G56=Setup!$C$22)),1,0))))</f>
        <v>0</v>
      </c>
      <c r="AJ56" s="60" t="n">
        <f aca="false">IF(OR($S56=0,Setup!$B$23=""),0,IF(OR($G56="",$G56="Everyone"),1,IF($G56="Custom",N(Z56),IF(OR($G56=Setup!$B$23,AND(Setup!$C$23&lt;&gt;"",$G56=Setup!$C$23)),1,0))))</f>
        <v>0</v>
      </c>
      <c r="AK56" s="60" t="n">
        <f aca="false">IF(OR($S56=0,Setup!$B$24=""),0,IF(OR($G56="",$G56="Everyone"),1,IF($G56="Custom",N(AA56),IF(OR($G56=Setup!$B$24,AND(Setup!$C$24&lt;&gt;"",$G56=Setup!$C$24)),1,0))))</f>
        <v>0</v>
      </c>
      <c r="AL56" s="60" t="n">
        <f aca="false">IF(OR($S56=0,Setup!$B$25=""),0,IF(OR($G56="",$G56="Everyone"),1,IF($G56="Custom",N(AB56),IF(OR($G56=Setup!$B$25,AND(Setup!$C$25&lt;&gt;"",$G56=Setup!$C$25)),1,0))))</f>
        <v>0</v>
      </c>
      <c r="AM56" s="60" t="n">
        <f aca="false">IF(OR($S56=0,Setup!$B$26=""),0,IF(OR($G56="",$G56="Everyone"),1,IF($G56="Custom",N(AC56),IF(OR($G56=Setup!$B$26,AND(Setup!$C$26&lt;&gt;"",$G56=Setup!$C$26)),1,0))))</f>
        <v>0</v>
      </c>
      <c r="AN56" s="60" t="n">
        <f aca="false">IF(OR($S56=0,Setup!$B$27=""),0,IF(OR($G56="",$G56="Everyone"),1,IF($G56="Custom",N(AD56),IF(OR($G56=Setup!$B$27,AND(Setup!$C$27&lt;&gt;"",$G56=Setup!$C$27)),1,0))))</f>
        <v>0</v>
      </c>
      <c r="AO56" s="60" t="n">
        <f aca="false">IF(SUM(AE56:AN56)=0,1,SUM(AE56:AN56))</f>
        <v>1</v>
      </c>
      <c r="AP56" s="60" t="n">
        <f aca="false">IF(H56="Paid",1,0)</f>
        <v>0</v>
      </c>
      <c r="AQ56" s="60" t="n">
        <f aca="false">IF(AND(S56&gt;0,SUM(AE56:AN56)=0),S56,0)</f>
        <v>0</v>
      </c>
      <c r="AR56" s="60" t="str">
        <f aca="false">IF(AND(N56&lt;&gt;"",TodayDay&lt;&gt;"",N56=TodayDay),COUNTIF($N$6:N56,TodayDay),"")</f>
        <v/>
      </c>
      <c r="AS56" s="60" t="n">
        <f aca="false">IF(B56="",0,IF(COUNTIFS(Settings!$A$5:$A$29,B56,Settings!$B$5:$B$29,"Yes")&gt;0,1,0))</f>
        <v>0</v>
      </c>
      <c r="AT56" s="61" t="n">
        <f aca="false">IF(OR(N56="",TodayDay=""),IF(N56="",S56,0),IF(N56&lt;TodayDay,S56,0))</f>
        <v>0</v>
      </c>
    </row>
    <row r="57" customFormat="false" ht="15" hidden="false" customHeight="false" outlineLevel="0" collapsed="false">
      <c r="A57" s="23"/>
      <c r="B57" s="23"/>
      <c r="C57" s="23"/>
      <c r="D57" s="56"/>
      <c r="E57" s="23"/>
      <c r="F57" s="23"/>
      <c r="G57" s="23"/>
      <c r="H57" s="23"/>
      <c r="I57" s="56"/>
      <c r="J57" s="23"/>
      <c r="K57" s="28"/>
      <c r="L57" s="23"/>
      <c r="M57" s="23"/>
      <c r="N57" s="25" t="str">
        <f aca="false">IF(A57="","",IF(LEFT(A57,3)="Pre",0,IFERROR(VALUE(MID(A57,5,FIND(" ",A57&amp;" ",5)-5)),"")))</f>
        <v/>
      </c>
      <c r="O57" s="57" t="str">
        <f aca="false">IF(N57="","",IF(N57=0,"Before trip",IF(TripStart="","",TripStart+N57-1)))</f>
        <v/>
      </c>
      <c r="P57" s="58" t="str">
        <f aca="false">IF(AND(D57="",I57=""),"",IF(OR(E57="",E57=HomeCcy),1,IFERROR(INDEX(Setup!$J$26:$J$33,MATCH(E57,Setup!$G$26:$G$33,0)),IFERROR(INDEX(Settings!$S$5:$S$64,MATCH(E57,Settings!$R$5:$R$64,0))/HomeINR,1))))</f>
        <v/>
      </c>
      <c r="Q57" s="34" t="str">
        <f aca="false">IF(D57="","",D57*P57)</f>
        <v/>
      </c>
      <c r="R57" s="34" t="str">
        <f aca="false">IF(I57="","",I57*P57)</f>
        <v/>
      </c>
      <c r="S57" s="33" t="n">
        <f aca="false">IF(H57="Cancelled",0,IF(R57&lt;&gt;"",R57,IF(Q57&lt;&gt;"",Q57,0)))</f>
        <v>0</v>
      </c>
      <c r="T57" s="45" t="str">
        <f aca="false">IF(S57=0,"",IF(SUM(AE57:AN57)=0,"⚠ nobody picked",COUNTIF(AE57:AN57,"&gt;0")&amp;" people"))</f>
        <v/>
      </c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60" t="n">
        <f aca="false">IF(OR($S57=0,Setup!$B$18=""),0,IF(OR($G57="",$G57="Everyone"),1,IF($G57="Custom",N(U57),IF(OR($G57=Setup!$B$18,AND(Setup!$C$18&lt;&gt;"",$G57=Setup!$C$18)),1,0))))</f>
        <v>0</v>
      </c>
      <c r="AF57" s="60" t="n">
        <f aca="false">IF(OR($S57=0,Setup!$B$19=""),0,IF(OR($G57="",$G57="Everyone"),1,IF($G57="Custom",N(V57),IF(OR($G57=Setup!$B$19,AND(Setup!$C$19&lt;&gt;"",$G57=Setup!$C$19)),1,0))))</f>
        <v>0</v>
      </c>
      <c r="AG57" s="60" t="n">
        <f aca="false">IF(OR($S57=0,Setup!$B$20=""),0,IF(OR($G57="",$G57="Everyone"),1,IF($G57="Custom",N(W57),IF(OR($G57=Setup!$B$20,AND(Setup!$C$20&lt;&gt;"",$G57=Setup!$C$20)),1,0))))</f>
        <v>0</v>
      </c>
      <c r="AH57" s="60" t="n">
        <f aca="false">IF(OR($S57=0,Setup!$B$21=""),0,IF(OR($G57="",$G57="Everyone"),1,IF($G57="Custom",N(X57),IF(OR($G57=Setup!$B$21,AND(Setup!$C$21&lt;&gt;"",$G57=Setup!$C$21)),1,0))))</f>
        <v>0</v>
      </c>
      <c r="AI57" s="60" t="n">
        <f aca="false">IF(OR($S57=0,Setup!$B$22=""),0,IF(OR($G57="",$G57="Everyone"),1,IF($G57="Custom",N(Y57),IF(OR($G57=Setup!$B$22,AND(Setup!$C$22&lt;&gt;"",$G57=Setup!$C$22)),1,0))))</f>
        <v>0</v>
      </c>
      <c r="AJ57" s="60" t="n">
        <f aca="false">IF(OR($S57=0,Setup!$B$23=""),0,IF(OR($G57="",$G57="Everyone"),1,IF($G57="Custom",N(Z57),IF(OR($G57=Setup!$B$23,AND(Setup!$C$23&lt;&gt;"",$G57=Setup!$C$23)),1,0))))</f>
        <v>0</v>
      </c>
      <c r="AK57" s="60" t="n">
        <f aca="false">IF(OR($S57=0,Setup!$B$24=""),0,IF(OR($G57="",$G57="Everyone"),1,IF($G57="Custom",N(AA57),IF(OR($G57=Setup!$B$24,AND(Setup!$C$24&lt;&gt;"",$G57=Setup!$C$24)),1,0))))</f>
        <v>0</v>
      </c>
      <c r="AL57" s="60" t="n">
        <f aca="false">IF(OR($S57=0,Setup!$B$25=""),0,IF(OR($G57="",$G57="Everyone"),1,IF($G57="Custom",N(AB57),IF(OR($G57=Setup!$B$25,AND(Setup!$C$25&lt;&gt;"",$G57=Setup!$C$25)),1,0))))</f>
        <v>0</v>
      </c>
      <c r="AM57" s="60" t="n">
        <f aca="false">IF(OR($S57=0,Setup!$B$26=""),0,IF(OR($G57="",$G57="Everyone"),1,IF($G57="Custom",N(AC57),IF(OR($G57=Setup!$B$26,AND(Setup!$C$26&lt;&gt;"",$G57=Setup!$C$26)),1,0))))</f>
        <v>0</v>
      </c>
      <c r="AN57" s="60" t="n">
        <f aca="false">IF(OR($S57=0,Setup!$B$27=""),0,IF(OR($G57="",$G57="Everyone"),1,IF($G57="Custom",N(AD57),IF(OR($G57=Setup!$B$27,AND(Setup!$C$27&lt;&gt;"",$G57=Setup!$C$27)),1,0))))</f>
        <v>0</v>
      </c>
      <c r="AO57" s="60" t="n">
        <f aca="false">IF(SUM(AE57:AN57)=0,1,SUM(AE57:AN57))</f>
        <v>1</v>
      </c>
      <c r="AP57" s="60" t="n">
        <f aca="false">IF(H57="Paid",1,0)</f>
        <v>0</v>
      </c>
      <c r="AQ57" s="60" t="n">
        <f aca="false">IF(AND(S57&gt;0,SUM(AE57:AN57)=0),S57,0)</f>
        <v>0</v>
      </c>
      <c r="AR57" s="60" t="str">
        <f aca="false">IF(AND(N57&lt;&gt;"",TodayDay&lt;&gt;"",N57=TodayDay),COUNTIF($N$6:N57,TodayDay),"")</f>
        <v/>
      </c>
      <c r="AS57" s="60" t="n">
        <f aca="false">IF(B57="",0,IF(COUNTIFS(Settings!$A$5:$A$29,B57,Settings!$B$5:$B$29,"Yes")&gt;0,1,0))</f>
        <v>0</v>
      </c>
      <c r="AT57" s="61" t="n">
        <f aca="false">IF(OR(N57="",TodayDay=""),IF(N57="",S57,0),IF(N57&lt;TodayDay,S57,0))</f>
        <v>0</v>
      </c>
    </row>
    <row r="58" customFormat="false" ht="15" hidden="false" customHeight="false" outlineLevel="0" collapsed="false">
      <c r="A58" s="23"/>
      <c r="B58" s="23"/>
      <c r="C58" s="23"/>
      <c r="D58" s="56"/>
      <c r="E58" s="23"/>
      <c r="F58" s="23"/>
      <c r="G58" s="23"/>
      <c r="H58" s="23"/>
      <c r="I58" s="56"/>
      <c r="J58" s="23"/>
      <c r="K58" s="28"/>
      <c r="L58" s="23"/>
      <c r="M58" s="23"/>
      <c r="N58" s="25" t="str">
        <f aca="false">IF(A58="","",IF(LEFT(A58,3)="Pre",0,IFERROR(VALUE(MID(A58,5,FIND(" ",A58&amp;" ",5)-5)),"")))</f>
        <v/>
      </c>
      <c r="O58" s="57" t="str">
        <f aca="false">IF(N58="","",IF(N58=0,"Before trip",IF(TripStart="","",TripStart+N58-1)))</f>
        <v/>
      </c>
      <c r="P58" s="58" t="str">
        <f aca="false">IF(AND(D58="",I58=""),"",IF(OR(E58="",E58=HomeCcy),1,IFERROR(INDEX(Setup!$J$26:$J$33,MATCH(E58,Setup!$G$26:$G$33,0)),IFERROR(INDEX(Settings!$S$5:$S$64,MATCH(E58,Settings!$R$5:$R$64,0))/HomeINR,1))))</f>
        <v/>
      </c>
      <c r="Q58" s="34" t="str">
        <f aca="false">IF(D58="","",D58*P58)</f>
        <v/>
      </c>
      <c r="R58" s="34" t="str">
        <f aca="false">IF(I58="","",I58*P58)</f>
        <v/>
      </c>
      <c r="S58" s="33" t="n">
        <f aca="false">IF(H58="Cancelled",0,IF(R58&lt;&gt;"",R58,IF(Q58&lt;&gt;"",Q58,0)))</f>
        <v>0</v>
      </c>
      <c r="T58" s="45" t="str">
        <f aca="false">IF(S58=0,"",IF(SUM(AE58:AN58)=0,"⚠ nobody picked",COUNTIF(AE58:AN58,"&gt;0")&amp;" people"))</f>
        <v/>
      </c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60" t="n">
        <f aca="false">IF(OR($S58=0,Setup!$B$18=""),0,IF(OR($G58="",$G58="Everyone"),1,IF($G58="Custom",N(U58),IF(OR($G58=Setup!$B$18,AND(Setup!$C$18&lt;&gt;"",$G58=Setup!$C$18)),1,0))))</f>
        <v>0</v>
      </c>
      <c r="AF58" s="60" t="n">
        <f aca="false">IF(OR($S58=0,Setup!$B$19=""),0,IF(OR($G58="",$G58="Everyone"),1,IF($G58="Custom",N(V58),IF(OR($G58=Setup!$B$19,AND(Setup!$C$19&lt;&gt;"",$G58=Setup!$C$19)),1,0))))</f>
        <v>0</v>
      </c>
      <c r="AG58" s="60" t="n">
        <f aca="false">IF(OR($S58=0,Setup!$B$20=""),0,IF(OR($G58="",$G58="Everyone"),1,IF($G58="Custom",N(W58),IF(OR($G58=Setup!$B$20,AND(Setup!$C$20&lt;&gt;"",$G58=Setup!$C$20)),1,0))))</f>
        <v>0</v>
      </c>
      <c r="AH58" s="60" t="n">
        <f aca="false">IF(OR($S58=0,Setup!$B$21=""),0,IF(OR($G58="",$G58="Everyone"),1,IF($G58="Custom",N(X58),IF(OR($G58=Setup!$B$21,AND(Setup!$C$21&lt;&gt;"",$G58=Setup!$C$21)),1,0))))</f>
        <v>0</v>
      </c>
      <c r="AI58" s="60" t="n">
        <f aca="false">IF(OR($S58=0,Setup!$B$22=""),0,IF(OR($G58="",$G58="Everyone"),1,IF($G58="Custom",N(Y58),IF(OR($G58=Setup!$B$22,AND(Setup!$C$22&lt;&gt;"",$G58=Setup!$C$22)),1,0))))</f>
        <v>0</v>
      </c>
      <c r="AJ58" s="60" t="n">
        <f aca="false">IF(OR($S58=0,Setup!$B$23=""),0,IF(OR($G58="",$G58="Everyone"),1,IF($G58="Custom",N(Z58),IF(OR($G58=Setup!$B$23,AND(Setup!$C$23&lt;&gt;"",$G58=Setup!$C$23)),1,0))))</f>
        <v>0</v>
      </c>
      <c r="AK58" s="60" t="n">
        <f aca="false">IF(OR($S58=0,Setup!$B$24=""),0,IF(OR($G58="",$G58="Everyone"),1,IF($G58="Custom",N(AA58),IF(OR($G58=Setup!$B$24,AND(Setup!$C$24&lt;&gt;"",$G58=Setup!$C$24)),1,0))))</f>
        <v>0</v>
      </c>
      <c r="AL58" s="60" t="n">
        <f aca="false">IF(OR($S58=0,Setup!$B$25=""),0,IF(OR($G58="",$G58="Everyone"),1,IF($G58="Custom",N(AB58),IF(OR($G58=Setup!$B$25,AND(Setup!$C$25&lt;&gt;"",$G58=Setup!$C$25)),1,0))))</f>
        <v>0</v>
      </c>
      <c r="AM58" s="60" t="n">
        <f aca="false">IF(OR($S58=0,Setup!$B$26=""),0,IF(OR($G58="",$G58="Everyone"),1,IF($G58="Custom",N(AC58),IF(OR($G58=Setup!$B$26,AND(Setup!$C$26&lt;&gt;"",$G58=Setup!$C$26)),1,0))))</f>
        <v>0</v>
      </c>
      <c r="AN58" s="60" t="n">
        <f aca="false">IF(OR($S58=0,Setup!$B$27=""),0,IF(OR($G58="",$G58="Everyone"),1,IF($G58="Custom",N(AD58),IF(OR($G58=Setup!$B$27,AND(Setup!$C$27&lt;&gt;"",$G58=Setup!$C$27)),1,0))))</f>
        <v>0</v>
      </c>
      <c r="AO58" s="60" t="n">
        <f aca="false">IF(SUM(AE58:AN58)=0,1,SUM(AE58:AN58))</f>
        <v>1</v>
      </c>
      <c r="AP58" s="60" t="n">
        <f aca="false">IF(H58="Paid",1,0)</f>
        <v>0</v>
      </c>
      <c r="AQ58" s="60" t="n">
        <f aca="false">IF(AND(S58&gt;0,SUM(AE58:AN58)=0),S58,0)</f>
        <v>0</v>
      </c>
      <c r="AR58" s="60" t="str">
        <f aca="false">IF(AND(N58&lt;&gt;"",TodayDay&lt;&gt;"",N58=TodayDay),COUNTIF($N$6:N58,TodayDay),"")</f>
        <v/>
      </c>
      <c r="AS58" s="60" t="n">
        <f aca="false">IF(B58="",0,IF(COUNTIFS(Settings!$A$5:$A$29,B58,Settings!$B$5:$B$29,"Yes")&gt;0,1,0))</f>
        <v>0</v>
      </c>
      <c r="AT58" s="61" t="n">
        <f aca="false">IF(OR(N58="",TodayDay=""),IF(N58="",S58,0),IF(N58&lt;TodayDay,S58,0))</f>
        <v>0</v>
      </c>
    </row>
    <row r="59" customFormat="false" ht="15" hidden="false" customHeight="false" outlineLevel="0" collapsed="false">
      <c r="A59" s="23"/>
      <c r="B59" s="23"/>
      <c r="C59" s="23"/>
      <c r="D59" s="56"/>
      <c r="E59" s="23"/>
      <c r="F59" s="23"/>
      <c r="G59" s="23"/>
      <c r="H59" s="23"/>
      <c r="I59" s="56"/>
      <c r="J59" s="23"/>
      <c r="K59" s="28"/>
      <c r="L59" s="23"/>
      <c r="M59" s="23"/>
      <c r="N59" s="25" t="str">
        <f aca="false">IF(A59="","",IF(LEFT(A59,3)="Pre",0,IFERROR(VALUE(MID(A59,5,FIND(" ",A59&amp;" ",5)-5)),"")))</f>
        <v/>
      </c>
      <c r="O59" s="57" t="str">
        <f aca="false">IF(N59="","",IF(N59=0,"Before trip",IF(TripStart="","",TripStart+N59-1)))</f>
        <v/>
      </c>
      <c r="P59" s="58" t="str">
        <f aca="false">IF(AND(D59="",I59=""),"",IF(OR(E59="",E59=HomeCcy),1,IFERROR(INDEX(Setup!$J$26:$J$33,MATCH(E59,Setup!$G$26:$G$33,0)),IFERROR(INDEX(Settings!$S$5:$S$64,MATCH(E59,Settings!$R$5:$R$64,0))/HomeINR,1))))</f>
        <v/>
      </c>
      <c r="Q59" s="34" t="str">
        <f aca="false">IF(D59="","",D59*P59)</f>
        <v/>
      </c>
      <c r="R59" s="34" t="str">
        <f aca="false">IF(I59="","",I59*P59)</f>
        <v/>
      </c>
      <c r="S59" s="33" t="n">
        <f aca="false">IF(H59="Cancelled",0,IF(R59&lt;&gt;"",R59,IF(Q59&lt;&gt;"",Q59,0)))</f>
        <v>0</v>
      </c>
      <c r="T59" s="45" t="str">
        <f aca="false">IF(S59=0,"",IF(SUM(AE59:AN59)=0,"⚠ nobody picked",COUNTIF(AE59:AN59,"&gt;0")&amp;" people"))</f>
        <v/>
      </c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60" t="n">
        <f aca="false">IF(OR($S59=0,Setup!$B$18=""),0,IF(OR($G59="",$G59="Everyone"),1,IF($G59="Custom",N(U59),IF(OR($G59=Setup!$B$18,AND(Setup!$C$18&lt;&gt;"",$G59=Setup!$C$18)),1,0))))</f>
        <v>0</v>
      </c>
      <c r="AF59" s="60" t="n">
        <f aca="false">IF(OR($S59=0,Setup!$B$19=""),0,IF(OR($G59="",$G59="Everyone"),1,IF($G59="Custom",N(V59),IF(OR($G59=Setup!$B$19,AND(Setup!$C$19&lt;&gt;"",$G59=Setup!$C$19)),1,0))))</f>
        <v>0</v>
      </c>
      <c r="AG59" s="60" t="n">
        <f aca="false">IF(OR($S59=0,Setup!$B$20=""),0,IF(OR($G59="",$G59="Everyone"),1,IF($G59="Custom",N(W59),IF(OR($G59=Setup!$B$20,AND(Setup!$C$20&lt;&gt;"",$G59=Setup!$C$20)),1,0))))</f>
        <v>0</v>
      </c>
      <c r="AH59" s="60" t="n">
        <f aca="false">IF(OR($S59=0,Setup!$B$21=""),0,IF(OR($G59="",$G59="Everyone"),1,IF($G59="Custom",N(X59),IF(OR($G59=Setup!$B$21,AND(Setup!$C$21&lt;&gt;"",$G59=Setup!$C$21)),1,0))))</f>
        <v>0</v>
      </c>
      <c r="AI59" s="60" t="n">
        <f aca="false">IF(OR($S59=0,Setup!$B$22=""),0,IF(OR($G59="",$G59="Everyone"),1,IF($G59="Custom",N(Y59),IF(OR($G59=Setup!$B$22,AND(Setup!$C$22&lt;&gt;"",$G59=Setup!$C$22)),1,0))))</f>
        <v>0</v>
      </c>
      <c r="AJ59" s="60" t="n">
        <f aca="false">IF(OR($S59=0,Setup!$B$23=""),0,IF(OR($G59="",$G59="Everyone"),1,IF($G59="Custom",N(Z59),IF(OR($G59=Setup!$B$23,AND(Setup!$C$23&lt;&gt;"",$G59=Setup!$C$23)),1,0))))</f>
        <v>0</v>
      </c>
      <c r="AK59" s="60" t="n">
        <f aca="false">IF(OR($S59=0,Setup!$B$24=""),0,IF(OR($G59="",$G59="Everyone"),1,IF($G59="Custom",N(AA59),IF(OR($G59=Setup!$B$24,AND(Setup!$C$24&lt;&gt;"",$G59=Setup!$C$24)),1,0))))</f>
        <v>0</v>
      </c>
      <c r="AL59" s="60" t="n">
        <f aca="false">IF(OR($S59=0,Setup!$B$25=""),0,IF(OR($G59="",$G59="Everyone"),1,IF($G59="Custom",N(AB59),IF(OR($G59=Setup!$B$25,AND(Setup!$C$25&lt;&gt;"",$G59=Setup!$C$25)),1,0))))</f>
        <v>0</v>
      </c>
      <c r="AM59" s="60" t="n">
        <f aca="false">IF(OR($S59=0,Setup!$B$26=""),0,IF(OR($G59="",$G59="Everyone"),1,IF($G59="Custom",N(AC59),IF(OR($G59=Setup!$B$26,AND(Setup!$C$26&lt;&gt;"",$G59=Setup!$C$26)),1,0))))</f>
        <v>0</v>
      </c>
      <c r="AN59" s="60" t="n">
        <f aca="false">IF(OR($S59=0,Setup!$B$27=""),0,IF(OR($G59="",$G59="Everyone"),1,IF($G59="Custom",N(AD59),IF(OR($G59=Setup!$B$27,AND(Setup!$C$27&lt;&gt;"",$G59=Setup!$C$27)),1,0))))</f>
        <v>0</v>
      </c>
      <c r="AO59" s="60" t="n">
        <f aca="false">IF(SUM(AE59:AN59)=0,1,SUM(AE59:AN59))</f>
        <v>1</v>
      </c>
      <c r="AP59" s="60" t="n">
        <f aca="false">IF(H59="Paid",1,0)</f>
        <v>0</v>
      </c>
      <c r="AQ59" s="60" t="n">
        <f aca="false">IF(AND(S59&gt;0,SUM(AE59:AN59)=0),S59,0)</f>
        <v>0</v>
      </c>
      <c r="AR59" s="60" t="str">
        <f aca="false">IF(AND(N59&lt;&gt;"",TodayDay&lt;&gt;"",N59=TodayDay),COUNTIF($N$6:N59,TodayDay),"")</f>
        <v/>
      </c>
      <c r="AS59" s="60" t="n">
        <f aca="false">IF(B59="",0,IF(COUNTIFS(Settings!$A$5:$A$29,B59,Settings!$B$5:$B$29,"Yes")&gt;0,1,0))</f>
        <v>0</v>
      </c>
      <c r="AT59" s="61" t="n">
        <f aca="false">IF(OR(N59="",TodayDay=""),IF(N59="",S59,0),IF(N59&lt;TodayDay,S59,0))</f>
        <v>0</v>
      </c>
    </row>
    <row r="60" customFormat="false" ht="15" hidden="false" customHeight="false" outlineLevel="0" collapsed="false">
      <c r="A60" s="23"/>
      <c r="B60" s="23"/>
      <c r="C60" s="23"/>
      <c r="D60" s="56"/>
      <c r="E60" s="23"/>
      <c r="F60" s="23"/>
      <c r="G60" s="23"/>
      <c r="H60" s="23"/>
      <c r="I60" s="56"/>
      <c r="J60" s="23"/>
      <c r="K60" s="28"/>
      <c r="L60" s="23"/>
      <c r="M60" s="23"/>
      <c r="N60" s="25" t="str">
        <f aca="false">IF(A60="","",IF(LEFT(A60,3)="Pre",0,IFERROR(VALUE(MID(A60,5,FIND(" ",A60&amp;" ",5)-5)),"")))</f>
        <v/>
      </c>
      <c r="O60" s="57" t="str">
        <f aca="false">IF(N60="","",IF(N60=0,"Before trip",IF(TripStart="","",TripStart+N60-1)))</f>
        <v/>
      </c>
      <c r="P60" s="58" t="str">
        <f aca="false">IF(AND(D60="",I60=""),"",IF(OR(E60="",E60=HomeCcy),1,IFERROR(INDEX(Setup!$J$26:$J$33,MATCH(E60,Setup!$G$26:$G$33,0)),IFERROR(INDEX(Settings!$S$5:$S$64,MATCH(E60,Settings!$R$5:$R$64,0))/HomeINR,1))))</f>
        <v/>
      </c>
      <c r="Q60" s="34" t="str">
        <f aca="false">IF(D60="","",D60*P60)</f>
        <v/>
      </c>
      <c r="R60" s="34" t="str">
        <f aca="false">IF(I60="","",I60*P60)</f>
        <v/>
      </c>
      <c r="S60" s="33" t="n">
        <f aca="false">IF(H60="Cancelled",0,IF(R60&lt;&gt;"",R60,IF(Q60&lt;&gt;"",Q60,0)))</f>
        <v>0</v>
      </c>
      <c r="T60" s="45" t="str">
        <f aca="false">IF(S60=0,"",IF(SUM(AE60:AN60)=0,"⚠ nobody picked",COUNTIF(AE60:AN60,"&gt;0")&amp;" people"))</f>
        <v/>
      </c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60" t="n">
        <f aca="false">IF(OR($S60=0,Setup!$B$18=""),0,IF(OR($G60="",$G60="Everyone"),1,IF($G60="Custom",N(U60),IF(OR($G60=Setup!$B$18,AND(Setup!$C$18&lt;&gt;"",$G60=Setup!$C$18)),1,0))))</f>
        <v>0</v>
      </c>
      <c r="AF60" s="60" t="n">
        <f aca="false">IF(OR($S60=0,Setup!$B$19=""),0,IF(OR($G60="",$G60="Everyone"),1,IF($G60="Custom",N(V60),IF(OR($G60=Setup!$B$19,AND(Setup!$C$19&lt;&gt;"",$G60=Setup!$C$19)),1,0))))</f>
        <v>0</v>
      </c>
      <c r="AG60" s="60" t="n">
        <f aca="false">IF(OR($S60=0,Setup!$B$20=""),0,IF(OR($G60="",$G60="Everyone"),1,IF($G60="Custom",N(W60),IF(OR($G60=Setup!$B$20,AND(Setup!$C$20&lt;&gt;"",$G60=Setup!$C$20)),1,0))))</f>
        <v>0</v>
      </c>
      <c r="AH60" s="60" t="n">
        <f aca="false">IF(OR($S60=0,Setup!$B$21=""),0,IF(OR($G60="",$G60="Everyone"),1,IF($G60="Custom",N(X60),IF(OR($G60=Setup!$B$21,AND(Setup!$C$21&lt;&gt;"",$G60=Setup!$C$21)),1,0))))</f>
        <v>0</v>
      </c>
      <c r="AI60" s="60" t="n">
        <f aca="false">IF(OR($S60=0,Setup!$B$22=""),0,IF(OR($G60="",$G60="Everyone"),1,IF($G60="Custom",N(Y60),IF(OR($G60=Setup!$B$22,AND(Setup!$C$22&lt;&gt;"",$G60=Setup!$C$22)),1,0))))</f>
        <v>0</v>
      </c>
      <c r="AJ60" s="60" t="n">
        <f aca="false">IF(OR($S60=0,Setup!$B$23=""),0,IF(OR($G60="",$G60="Everyone"),1,IF($G60="Custom",N(Z60),IF(OR($G60=Setup!$B$23,AND(Setup!$C$23&lt;&gt;"",$G60=Setup!$C$23)),1,0))))</f>
        <v>0</v>
      </c>
      <c r="AK60" s="60" t="n">
        <f aca="false">IF(OR($S60=0,Setup!$B$24=""),0,IF(OR($G60="",$G60="Everyone"),1,IF($G60="Custom",N(AA60),IF(OR($G60=Setup!$B$24,AND(Setup!$C$24&lt;&gt;"",$G60=Setup!$C$24)),1,0))))</f>
        <v>0</v>
      </c>
      <c r="AL60" s="60" t="n">
        <f aca="false">IF(OR($S60=0,Setup!$B$25=""),0,IF(OR($G60="",$G60="Everyone"),1,IF($G60="Custom",N(AB60),IF(OR($G60=Setup!$B$25,AND(Setup!$C$25&lt;&gt;"",$G60=Setup!$C$25)),1,0))))</f>
        <v>0</v>
      </c>
      <c r="AM60" s="60" t="n">
        <f aca="false">IF(OR($S60=0,Setup!$B$26=""),0,IF(OR($G60="",$G60="Everyone"),1,IF($G60="Custom",N(AC60),IF(OR($G60=Setup!$B$26,AND(Setup!$C$26&lt;&gt;"",$G60=Setup!$C$26)),1,0))))</f>
        <v>0</v>
      </c>
      <c r="AN60" s="60" t="n">
        <f aca="false">IF(OR($S60=0,Setup!$B$27=""),0,IF(OR($G60="",$G60="Everyone"),1,IF($G60="Custom",N(AD60),IF(OR($G60=Setup!$B$27,AND(Setup!$C$27&lt;&gt;"",$G60=Setup!$C$27)),1,0))))</f>
        <v>0</v>
      </c>
      <c r="AO60" s="60" t="n">
        <f aca="false">IF(SUM(AE60:AN60)=0,1,SUM(AE60:AN60))</f>
        <v>1</v>
      </c>
      <c r="AP60" s="60" t="n">
        <f aca="false">IF(H60="Paid",1,0)</f>
        <v>0</v>
      </c>
      <c r="AQ60" s="60" t="n">
        <f aca="false">IF(AND(S60&gt;0,SUM(AE60:AN60)=0),S60,0)</f>
        <v>0</v>
      </c>
      <c r="AR60" s="60" t="str">
        <f aca="false">IF(AND(N60&lt;&gt;"",TodayDay&lt;&gt;"",N60=TodayDay),COUNTIF($N$6:N60,TodayDay),"")</f>
        <v/>
      </c>
      <c r="AS60" s="60" t="n">
        <f aca="false">IF(B60="",0,IF(COUNTIFS(Settings!$A$5:$A$29,B60,Settings!$B$5:$B$29,"Yes")&gt;0,1,0))</f>
        <v>0</v>
      </c>
      <c r="AT60" s="61" t="n">
        <f aca="false">IF(OR(N60="",TodayDay=""),IF(N60="",S60,0),IF(N60&lt;TodayDay,S60,0))</f>
        <v>0</v>
      </c>
    </row>
    <row r="61" customFormat="false" ht="15" hidden="false" customHeight="false" outlineLevel="0" collapsed="false">
      <c r="A61" s="23"/>
      <c r="B61" s="23"/>
      <c r="C61" s="23"/>
      <c r="D61" s="56"/>
      <c r="E61" s="23"/>
      <c r="F61" s="23"/>
      <c r="G61" s="23"/>
      <c r="H61" s="23"/>
      <c r="I61" s="56"/>
      <c r="J61" s="23"/>
      <c r="K61" s="28"/>
      <c r="L61" s="23"/>
      <c r="M61" s="23"/>
      <c r="N61" s="25" t="str">
        <f aca="false">IF(A61="","",IF(LEFT(A61,3)="Pre",0,IFERROR(VALUE(MID(A61,5,FIND(" ",A61&amp;" ",5)-5)),"")))</f>
        <v/>
      </c>
      <c r="O61" s="57" t="str">
        <f aca="false">IF(N61="","",IF(N61=0,"Before trip",IF(TripStart="","",TripStart+N61-1)))</f>
        <v/>
      </c>
      <c r="P61" s="58" t="str">
        <f aca="false">IF(AND(D61="",I61=""),"",IF(OR(E61="",E61=HomeCcy),1,IFERROR(INDEX(Setup!$J$26:$J$33,MATCH(E61,Setup!$G$26:$G$33,0)),IFERROR(INDEX(Settings!$S$5:$S$64,MATCH(E61,Settings!$R$5:$R$64,0))/HomeINR,1))))</f>
        <v/>
      </c>
      <c r="Q61" s="34" t="str">
        <f aca="false">IF(D61="","",D61*P61)</f>
        <v/>
      </c>
      <c r="R61" s="34" t="str">
        <f aca="false">IF(I61="","",I61*P61)</f>
        <v/>
      </c>
      <c r="S61" s="33" t="n">
        <f aca="false">IF(H61="Cancelled",0,IF(R61&lt;&gt;"",R61,IF(Q61&lt;&gt;"",Q61,0)))</f>
        <v>0</v>
      </c>
      <c r="T61" s="45" t="str">
        <f aca="false">IF(S61=0,"",IF(SUM(AE61:AN61)=0,"⚠ nobody picked",COUNTIF(AE61:AN61,"&gt;0")&amp;" people"))</f>
        <v/>
      </c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60" t="n">
        <f aca="false">IF(OR($S61=0,Setup!$B$18=""),0,IF(OR($G61="",$G61="Everyone"),1,IF($G61="Custom",N(U61),IF(OR($G61=Setup!$B$18,AND(Setup!$C$18&lt;&gt;"",$G61=Setup!$C$18)),1,0))))</f>
        <v>0</v>
      </c>
      <c r="AF61" s="60" t="n">
        <f aca="false">IF(OR($S61=0,Setup!$B$19=""),0,IF(OR($G61="",$G61="Everyone"),1,IF($G61="Custom",N(V61),IF(OR($G61=Setup!$B$19,AND(Setup!$C$19&lt;&gt;"",$G61=Setup!$C$19)),1,0))))</f>
        <v>0</v>
      </c>
      <c r="AG61" s="60" t="n">
        <f aca="false">IF(OR($S61=0,Setup!$B$20=""),0,IF(OR($G61="",$G61="Everyone"),1,IF($G61="Custom",N(W61),IF(OR($G61=Setup!$B$20,AND(Setup!$C$20&lt;&gt;"",$G61=Setup!$C$20)),1,0))))</f>
        <v>0</v>
      </c>
      <c r="AH61" s="60" t="n">
        <f aca="false">IF(OR($S61=0,Setup!$B$21=""),0,IF(OR($G61="",$G61="Everyone"),1,IF($G61="Custom",N(X61),IF(OR($G61=Setup!$B$21,AND(Setup!$C$21&lt;&gt;"",$G61=Setup!$C$21)),1,0))))</f>
        <v>0</v>
      </c>
      <c r="AI61" s="60" t="n">
        <f aca="false">IF(OR($S61=0,Setup!$B$22=""),0,IF(OR($G61="",$G61="Everyone"),1,IF($G61="Custom",N(Y61),IF(OR($G61=Setup!$B$22,AND(Setup!$C$22&lt;&gt;"",$G61=Setup!$C$22)),1,0))))</f>
        <v>0</v>
      </c>
      <c r="AJ61" s="60" t="n">
        <f aca="false">IF(OR($S61=0,Setup!$B$23=""),0,IF(OR($G61="",$G61="Everyone"),1,IF($G61="Custom",N(Z61),IF(OR($G61=Setup!$B$23,AND(Setup!$C$23&lt;&gt;"",$G61=Setup!$C$23)),1,0))))</f>
        <v>0</v>
      </c>
      <c r="AK61" s="60" t="n">
        <f aca="false">IF(OR($S61=0,Setup!$B$24=""),0,IF(OR($G61="",$G61="Everyone"),1,IF($G61="Custom",N(AA61),IF(OR($G61=Setup!$B$24,AND(Setup!$C$24&lt;&gt;"",$G61=Setup!$C$24)),1,0))))</f>
        <v>0</v>
      </c>
      <c r="AL61" s="60" t="n">
        <f aca="false">IF(OR($S61=0,Setup!$B$25=""),0,IF(OR($G61="",$G61="Everyone"),1,IF($G61="Custom",N(AB61),IF(OR($G61=Setup!$B$25,AND(Setup!$C$25&lt;&gt;"",$G61=Setup!$C$25)),1,0))))</f>
        <v>0</v>
      </c>
      <c r="AM61" s="60" t="n">
        <f aca="false">IF(OR($S61=0,Setup!$B$26=""),0,IF(OR($G61="",$G61="Everyone"),1,IF($G61="Custom",N(AC61),IF(OR($G61=Setup!$B$26,AND(Setup!$C$26&lt;&gt;"",$G61=Setup!$C$26)),1,0))))</f>
        <v>0</v>
      </c>
      <c r="AN61" s="60" t="n">
        <f aca="false">IF(OR($S61=0,Setup!$B$27=""),0,IF(OR($G61="",$G61="Everyone"),1,IF($G61="Custom",N(AD61),IF(OR($G61=Setup!$B$27,AND(Setup!$C$27&lt;&gt;"",$G61=Setup!$C$27)),1,0))))</f>
        <v>0</v>
      </c>
      <c r="AO61" s="60" t="n">
        <f aca="false">IF(SUM(AE61:AN61)=0,1,SUM(AE61:AN61))</f>
        <v>1</v>
      </c>
      <c r="AP61" s="60" t="n">
        <f aca="false">IF(H61="Paid",1,0)</f>
        <v>0</v>
      </c>
      <c r="AQ61" s="60" t="n">
        <f aca="false">IF(AND(S61&gt;0,SUM(AE61:AN61)=0),S61,0)</f>
        <v>0</v>
      </c>
      <c r="AR61" s="60" t="str">
        <f aca="false">IF(AND(N61&lt;&gt;"",TodayDay&lt;&gt;"",N61=TodayDay),COUNTIF($N$6:N61,TodayDay),"")</f>
        <v/>
      </c>
      <c r="AS61" s="60" t="n">
        <f aca="false">IF(B61="",0,IF(COUNTIFS(Settings!$A$5:$A$29,B61,Settings!$B$5:$B$29,"Yes")&gt;0,1,0))</f>
        <v>0</v>
      </c>
      <c r="AT61" s="61" t="n">
        <f aca="false">IF(OR(N61="",TodayDay=""),IF(N61="",S61,0),IF(N61&lt;TodayDay,S61,0))</f>
        <v>0</v>
      </c>
    </row>
    <row r="62" customFormat="false" ht="15" hidden="false" customHeight="false" outlineLevel="0" collapsed="false">
      <c r="A62" s="23"/>
      <c r="B62" s="23"/>
      <c r="C62" s="23"/>
      <c r="D62" s="56"/>
      <c r="E62" s="23"/>
      <c r="F62" s="23"/>
      <c r="G62" s="23"/>
      <c r="H62" s="23"/>
      <c r="I62" s="56"/>
      <c r="J62" s="23"/>
      <c r="K62" s="28"/>
      <c r="L62" s="23"/>
      <c r="M62" s="23"/>
      <c r="N62" s="25" t="str">
        <f aca="false">IF(A62="","",IF(LEFT(A62,3)="Pre",0,IFERROR(VALUE(MID(A62,5,FIND(" ",A62&amp;" ",5)-5)),"")))</f>
        <v/>
      </c>
      <c r="O62" s="57" t="str">
        <f aca="false">IF(N62="","",IF(N62=0,"Before trip",IF(TripStart="","",TripStart+N62-1)))</f>
        <v/>
      </c>
      <c r="P62" s="58" t="str">
        <f aca="false">IF(AND(D62="",I62=""),"",IF(OR(E62="",E62=HomeCcy),1,IFERROR(INDEX(Setup!$J$26:$J$33,MATCH(E62,Setup!$G$26:$G$33,0)),IFERROR(INDEX(Settings!$S$5:$S$64,MATCH(E62,Settings!$R$5:$R$64,0))/HomeINR,1))))</f>
        <v/>
      </c>
      <c r="Q62" s="34" t="str">
        <f aca="false">IF(D62="","",D62*P62)</f>
        <v/>
      </c>
      <c r="R62" s="34" t="str">
        <f aca="false">IF(I62="","",I62*P62)</f>
        <v/>
      </c>
      <c r="S62" s="33" t="n">
        <f aca="false">IF(H62="Cancelled",0,IF(R62&lt;&gt;"",R62,IF(Q62&lt;&gt;"",Q62,0)))</f>
        <v>0</v>
      </c>
      <c r="T62" s="45" t="str">
        <f aca="false">IF(S62=0,"",IF(SUM(AE62:AN62)=0,"⚠ nobody picked",COUNTIF(AE62:AN62,"&gt;0")&amp;" people"))</f>
        <v/>
      </c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60" t="n">
        <f aca="false">IF(OR($S62=0,Setup!$B$18=""),0,IF(OR($G62="",$G62="Everyone"),1,IF($G62="Custom",N(U62),IF(OR($G62=Setup!$B$18,AND(Setup!$C$18&lt;&gt;"",$G62=Setup!$C$18)),1,0))))</f>
        <v>0</v>
      </c>
      <c r="AF62" s="60" t="n">
        <f aca="false">IF(OR($S62=0,Setup!$B$19=""),0,IF(OR($G62="",$G62="Everyone"),1,IF($G62="Custom",N(V62),IF(OR($G62=Setup!$B$19,AND(Setup!$C$19&lt;&gt;"",$G62=Setup!$C$19)),1,0))))</f>
        <v>0</v>
      </c>
      <c r="AG62" s="60" t="n">
        <f aca="false">IF(OR($S62=0,Setup!$B$20=""),0,IF(OR($G62="",$G62="Everyone"),1,IF($G62="Custom",N(W62),IF(OR($G62=Setup!$B$20,AND(Setup!$C$20&lt;&gt;"",$G62=Setup!$C$20)),1,0))))</f>
        <v>0</v>
      </c>
      <c r="AH62" s="60" t="n">
        <f aca="false">IF(OR($S62=0,Setup!$B$21=""),0,IF(OR($G62="",$G62="Everyone"),1,IF($G62="Custom",N(X62),IF(OR($G62=Setup!$B$21,AND(Setup!$C$21&lt;&gt;"",$G62=Setup!$C$21)),1,0))))</f>
        <v>0</v>
      </c>
      <c r="AI62" s="60" t="n">
        <f aca="false">IF(OR($S62=0,Setup!$B$22=""),0,IF(OR($G62="",$G62="Everyone"),1,IF($G62="Custom",N(Y62),IF(OR($G62=Setup!$B$22,AND(Setup!$C$22&lt;&gt;"",$G62=Setup!$C$22)),1,0))))</f>
        <v>0</v>
      </c>
      <c r="AJ62" s="60" t="n">
        <f aca="false">IF(OR($S62=0,Setup!$B$23=""),0,IF(OR($G62="",$G62="Everyone"),1,IF($G62="Custom",N(Z62),IF(OR($G62=Setup!$B$23,AND(Setup!$C$23&lt;&gt;"",$G62=Setup!$C$23)),1,0))))</f>
        <v>0</v>
      </c>
      <c r="AK62" s="60" t="n">
        <f aca="false">IF(OR($S62=0,Setup!$B$24=""),0,IF(OR($G62="",$G62="Everyone"),1,IF($G62="Custom",N(AA62),IF(OR($G62=Setup!$B$24,AND(Setup!$C$24&lt;&gt;"",$G62=Setup!$C$24)),1,0))))</f>
        <v>0</v>
      </c>
      <c r="AL62" s="60" t="n">
        <f aca="false">IF(OR($S62=0,Setup!$B$25=""),0,IF(OR($G62="",$G62="Everyone"),1,IF($G62="Custom",N(AB62),IF(OR($G62=Setup!$B$25,AND(Setup!$C$25&lt;&gt;"",$G62=Setup!$C$25)),1,0))))</f>
        <v>0</v>
      </c>
      <c r="AM62" s="60" t="n">
        <f aca="false">IF(OR($S62=0,Setup!$B$26=""),0,IF(OR($G62="",$G62="Everyone"),1,IF($G62="Custom",N(AC62),IF(OR($G62=Setup!$B$26,AND(Setup!$C$26&lt;&gt;"",$G62=Setup!$C$26)),1,0))))</f>
        <v>0</v>
      </c>
      <c r="AN62" s="60" t="n">
        <f aca="false">IF(OR($S62=0,Setup!$B$27=""),0,IF(OR($G62="",$G62="Everyone"),1,IF($G62="Custom",N(AD62),IF(OR($G62=Setup!$B$27,AND(Setup!$C$27&lt;&gt;"",$G62=Setup!$C$27)),1,0))))</f>
        <v>0</v>
      </c>
      <c r="AO62" s="60" t="n">
        <f aca="false">IF(SUM(AE62:AN62)=0,1,SUM(AE62:AN62))</f>
        <v>1</v>
      </c>
      <c r="AP62" s="60" t="n">
        <f aca="false">IF(H62="Paid",1,0)</f>
        <v>0</v>
      </c>
      <c r="AQ62" s="60" t="n">
        <f aca="false">IF(AND(S62&gt;0,SUM(AE62:AN62)=0),S62,0)</f>
        <v>0</v>
      </c>
      <c r="AR62" s="60" t="str">
        <f aca="false">IF(AND(N62&lt;&gt;"",TodayDay&lt;&gt;"",N62=TodayDay),COUNTIF($N$6:N62,TodayDay),"")</f>
        <v/>
      </c>
      <c r="AS62" s="60" t="n">
        <f aca="false">IF(B62="",0,IF(COUNTIFS(Settings!$A$5:$A$29,B62,Settings!$B$5:$B$29,"Yes")&gt;0,1,0))</f>
        <v>0</v>
      </c>
      <c r="AT62" s="61" t="n">
        <f aca="false">IF(OR(N62="",TodayDay=""),IF(N62="",S62,0),IF(N62&lt;TodayDay,S62,0))</f>
        <v>0</v>
      </c>
    </row>
    <row r="63" customFormat="false" ht="15" hidden="false" customHeight="false" outlineLevel="0" collapsed="false">
      <c r="A63" s="23"/>
      <c r="B63" s="23"/>
      <c r="C63" s="23"/>
      <c r="D63" s="56"/>
      <c r="E63" s="23"/>
      <c r="F63" s="23"/>
      <c r="G63" s="23"/>
      <c r="H63" s="23"/>
      <c r="I63" s="56"/>
      <c r="J63" s="23"/>
      <c r="K63" s="28"/>
      <c r="L63" s="23"/>
      <c r="M63" s="23"/>
      <c r="N63" s="25" t="str">
        <f aca="false">IF(A63="","",IF(LEFT(A63,3)="Pre",0,IFERROR(VALUE(MID(A63,5,FIND(" ",A63&amp;" ",5)-5)),"")))</f>
        <v/>
      </c>
      <c r="O63" s="57" t="str">
        <f aca="false">IF(N63="","",IF(N63=0,"Before trip",IF(TripStart="","",TripStart+N63-1)))</f>
        <v/>
      </c>
      <c r="P63" s="58" t="str">
        <f aca="false">IF(AND(D63="",I63=""),"",IF(OR(E63="",E63=HomeCcy),1,IFERROR(INDEX(Setup!$J$26:$J$33,MATCH(E63,Setup!$G$26:$G$33,0)),IFERROR(INDEX(Settings!$S$5:$S$64,MATCH(E63,Settings!$R$5:$R$64,0))/HomeINR,1))))</f>
        <v/>
      </c>
      <c r="Q63" s="34" t="str">
        <f aca="false">IF(D63="","",D63*P63)</f>
        <v/>
      </c>
      <c r="R63" s="34" t="str">
        <f aca="false">IF(I63="","",I63*P63)</f>
        <v/>
      </c>
      <c r="S63" s="33" t="n">
        <f aca="false">IF(H63="Cancelled",0,IF(R63&lt;&gt;"",R63,IF(Q63&lt;&gt;"",Q63,0)))</f>
        <v>0</v>
      </c>
      <c r="T63" s="45" t="str">
        <f aca="false">IF(S63=0,"",IF(SUM(AE63:AN63)=0,"⚠ nobody picked",COUNTIF(AE63:AN63,"&gt;0")&amp;" people"))</f>
        <v/>
      </c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60" t="n">
        <f aca="false">IF(OR($S63=0,Setup!$B$18=""),0,IF(OR($G63="",$G63="Everyone"),1,IF($G63="Custom",N(U63),IF(OR($G63=Setup!$B$18,AND(Setup!$C$18&lt;&gt;"",$G63=Setup!$C$18)),1,0))))</f>
        <v>0</v>
      </c>
      <c r="AF63" s="60" t="n">
        <f aca="false">IF(OR($S63=0,Setup!$B$19=""),0,IF(OR($G63="",$G63="Everyone"),1,IF($G63="Custom",N(V63),IF(OR($G63=Setup!$B$19,AND(Setup!$C$19&lt;&gt;"",$G63=Setup!$C$19)),1,0))))</f>
        <v>0</v>
      </c>
      <c r="AG63" s="60" t="n">
        <f aca="false">IF(OR($S63=0,Setup!$B$20=""),0,IF(OR($G63="",$G63="Everyone"),1,IF($G63="Custom",N(W63),IF(OR($G63=Setup!$B$20,AND(Setup!$C$20&lt;&gt;"",$G63=Setup!$C$20)),1,0))))</f>
        <v>0</v>
      </c>
      <c r="AH63" s="60" t="n">
        <f aca="false">IF(OR($S63=0,Setup!$B$21=""),0,IF(OR($G63="",$G63="Everyone"),1,IF($G63="Custom",N(X63),IF(OR($G63=Setup!$B$21,AND(Setup!$C$21&lt;&gt;"",$G63=Setup!$C$21)),1,0))))</f>
        <v>0</v>
      </c>
      <c r="AI63" s="60" t="n">
        <f aca="false">IF(OR($S63=0,Setup!$B$22=""),0,IF(OR($G63="",$G63="Everyone"),1,IF($G63="Custom",N(Y63),IF(OR($G63=Setup!$B$22,AND(Setup!$C$22&lt;&gt;"",$G63=Setup!$C$22)),1,0))))</f>
        <v>0</v>
      </c>
      <c r="AJ63" s="60" t="n">
        <f aca="false">IF(OR($S63=0,Setup!$B$23=""),0,IF(OR($G63="",$G63="Everyone"),1,IF($G63="Custom",N(Z63),IF(OR($G63=Setup!$B$23,AND(Setup!$C$23&lt;&gt;"",$G63=Setup!$C$23)),1,0))))</f>
        <v>0</v>
      </c>
      <c r="AK63" s="60" t="n">
        <f aca="false">IF(OR($S63=0,Setup!$B$24=""),0,IF(OR($G63="",$G63="Everyone"),1,IF($G63="Custom",N(AA63),IF(OR($G63=Setup!$B$24,AND(Setup!$C$24&lt;&gt;"",$G63=Setup!$C$24)),1,0))))</f>
        <v>0</v>
      </c>
      <c r="AL63" s="60" t="n">
        <f aca="false">IF(OR($S63=0,Setup!$B$25=""),0,IF(OR($G63="",$G63="Everyone"),1,IF($G63="Custom",N(AB63),IF(OR($G63=Setup!$B$25,AND(Setup!$C$25&lt;&gt;"",$G63=Setup!$C$25)),1,0))))</f>
        <v>0</v>
      </c>
      <c r="AM63" s="60" t="n">
        <f aca="false">IF(OR($S63=0,Setup!$B$26=""),0,IF(OR($G63="",$G63="Everyone"),1,IF($G63="Custom",N(AC63),IF(OR($G63=Setup!$B$26,AND(Setup!$C$26&lt;&gt;"",$G63=Setup!$C$26)),1,0))))</f>
        <v>0</v>
      </c>
      <c r="AN63" s="60" t="n">
        <f aca="false">IF(OR($S63=0,Setup!$B$27=""),0,IF(OR($G63="",$G63="Everyone"),1,IF($G63="Custom",N(AD63),IF(OR($G63=Setup!$B$27,AND(Setup!$C$27&lt;&gt;"",$G63=Setup!$C$27)),1,0))))</f>
        <v>0</v>
      </c>
      <c r="AO63" s="60" t="n">
        <f aca="false">IF(SUM(AE63:AN63)=0,1,SUM(AE63:AN63))</f>
        <v>1</v>
      </c>
      <c r="AP63" s="60" t="n">
        <f aca="false">IF(H63="Paid",1,0)</f>
        <v>0</v>
      </c>
      <c r="AQ63" s="60" t="n">
        <f aca="false">IF(AND(S63&gt;0,SUM(AE63:AN63)=0),S63,0)</f>
        <v>0</v>
      </c>
      <c r="AR63" s="60" t="str">
        <f aca="false">IF(AND(N63&lt;&gt;"",TodayDay&lt;&gt;"",N63=TodayDay),COUNTIF($N$6:N63,TodayDay),"")</f>
        <v/>
      </c>
      <c r="AS63" s="60" t="n">
        <f aca="false">IF(B63="",0,IF(COUNTIFS(Settings!$A$5:$A$29,B63,Settings!$B$5:$B$29,"Yes")&gt;0,1,0))</f>
        <v>0</v>
      </c>
      <c r="AT63" s="61" t="n">
        <f aca="false">IF(OR(N63="",TodayDay=""),IF(N63="",S63,0),IF(N63&lt;TodayDay,S63,0))</f>
        <v>0</v>
      </c>
    </row>
    <row r="64" customFormat="false" ht="15" hidden="false" customHeight="false" outlineLevel="0" collapsed="false">
      <c r="A64" s="23"/>
      <c r="B64" s="23"/>
      <c r="C64" s="23"/>
      <c r="D64" s="56"/>
      <c r="E64" s="23"/>
      <c r="F64" s="23"/>
      <c r="G64" s="23"/>
      <c r="H64" s="23"/>
      <c r="I64" s="56"/>
      <c r="J64" s="23"/>
      <c r="K64" s="28"/>
      <c r="L64" s="23"/>
      <c r="M64" s="23"/>
      <c r="N64" s="25" t="str">
        <f aca="false">IF(A64="","",IF(LEFT(A64,3)="Pre",0,IFERROR(VALUE(MID(A64,5,FIND(" ",A64&amp;" ",5)-5)),"")))</f>
        <v/>
      </c>
      <c r="O64" s="57" t="str">
        <f aca="false">IF(N64="","",IF(N64=0,"Before trip",IF(TripStart="","",TripStart+N64-1)))</f>
        <v/>
      </c>
      <c r="P64" s="58" t="str">
        <f aca="false">IF(AND(D64="",I64=""),"",IF(OR(E64="",E64=HomeCcy),1,IFERROR(INDEX(Setup!$J$26:$J$33,MATCH(E64,Setup!$G$26:$G$33,0)),IFERROR(INDEX(Settings!$S$5:$S$64,MATCH(E64,Settings!$R$5:$R$64,0))/HomeINR,1))))</f>
        <v/>
      </c>
      <c r="Q64" s="34" t="str">
        <f aca="false">IF(D64="","",D64*P64)</f>
        <v/>
      </c>
      <c r="R64" s="34" t="str">
        <f aca="false">IF(I64="","",I64*P64)</f>
        <v/>
      </c>
      <c r="S64" s="33" t="n">
        <f aca="false">IF(H64="Cancelled",0,IF(R64&lt;&gt;"",R64,IF(Q64&lt;&gt;"",Q64,0)))</f>
        <v>0</v>
      </c>
      <c r="T64" s="45" t="str">
        <f aca="false">IF(S64=0,"",IF(SUM(AE64:AN64)=0,"⚠ nobody picked",COUNTIF(AE64:AN64,"&gt;0")&amp;" people"))</f>
        <v/>
      </c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60" t="n">
        <f aca="false">IF(OR($S64=0,Setup!$B$18=""),0,IF(OR($G64="",$G64="Everyone"),1,IF($G64="Custom",N(U64),IF(OR($G64=Setup!$B$18,AND(Setup!$C$18&lt;&gt;"",$G64=Setup!$C$18)),1,0))))</f>
        <v>0</v>
      </c>
      <c r="AF64" s="60" t="n">
        <f aca="false">IF(OR($S64=0,Setup!$B$19=""),0,IF(OR($G64="",$G64="Everyone"),1,IF($G64="Custom",N(V64),IF(OR($G64=Setup!$B$19,AND(Setup!$C$19&lt;&gt;"",$G64=Setup!$C$19)),1,0))))</f>
        <v>0</v>
      </c>
      <c r="AG64" s="60" t="n">
        <f aca="false">IF(OR($S64=0,Setup!$B$20=""),0,IF(OR($G64="",$G64="Everyone"),1,IF($G64="Custom",N(W64),IF(OR($G64=Setup!$B$20,AND(Setup!$C$20&lt;&gt;"",$G64=Setup!$C$20)),1,0))))</f>
        <v>0</v>
      </c>
      <c r="AH64" s="60" t="n">
        <f aca="false">IF(OR($S64=0,Setup!$B$21=""),0,IF(OR($G64="",$G64="Everyone"),1,IF($G64="Custom",N(X64),IF(OR($G64=Setup!$B$21,AND(Setup!$C$21&lt;&gt;"",$G64=Setup!$C$21)),1,0))))</f>
        <v>0</v>
      </c>
      <c r="AI64" s="60" t="n">
        <f aca="false">IF(OR($S64=0,Setup!$B$22=""),0,IF(OR($G64="",$G64="Everyone"),1,IF($G64="Custom",N(Y64),IF(OR($G64=Setup!$B$22,AND(Setup!$C$22&lt;&gt;"",$G64=Setup!$C$22)),1,0))))</f>
        <v>0</v>
      </c>
      <c r="AJ64" s="60" t="n">
        <f aca="false">IF(OR($S64=0,Setup!$B$23=""),0,IF(OR($G64="",$G64="Everyone"),1,IF($G64="Custom",N(Z64),IF(OR($G64=Setup!$B$23,AND(Setup!$C$23&lt;&gt;"",$G64=Setup!$C$23)),1,0))))</f>
        <v>0</v>
      </c>
      <c r="AK64" s="60" t="n">
        <f aca="false">IF(OR($S64=0,Setup!$B$24=""),0,IF(OR($G64="",$G64="Everyone"),1,IF($G64="Custom",N(AA64),IF(OR($G64=Setup!$B$24,AND(Setup!$C$24&lt;&gt;"",$G64=Setup!$C$24)),1,0))))</f>
        <v>0</v>
      </c>
      <c r="AL64" s="60" t="n">
        <f aca="false">IF(OR($S64=0,Setup!$B$25=""),0,IF(OR($G64="",$G64="Everyone"),1,IF($G64="Custom",N(AB64),IF(OR($G64=Setup!$B$25,AND(Setup!$C$25&lt;&gt;"",$G64=Setup!$C$25)),1,0))))</f>
        <v>0</v>
      </c>
      <c r="AM64" s="60" t="n">
        <f aca="false">IF(OR($S64=0,Setup!$B$26=""),0,IF(OR($G64="",$G64="Everyone"),1,IF($G64="Custom",N(AC64),IF(OR($G64=Setup!$B$26,AND(Setup!$C$26&lt;&gt;"",$G64=Setup!$C$26)),1,0))))</f>
        <v>0</v>
      </c>
      <c r="AN64" s="60" t="n">
        <f aca="false">IF(OR($S64=0,Setup!$B$27=""),0,IF(OR($G64="",$G64="Everyone"),1,IF($G64="Custom",N(AD64),IF(OR($G64=Setup!$B$27,AND(Setup!$C$27&lt;&gt;"",$G64=Setup!$C$27)),1,0))))</f>
        <v>0</v>
      </c>
      <c r="AO64" s="60" t="n">
        <f aca="false">IF(SUM(AE64:AN64)=0,1,SUM(AE64:AN64))</f>
        <v>1</v>
      </c>
      <c r="AP64" s="60" t="n">
        <f aca="false">IF(H64="Paid",1,0)</f>
        <v>0</v>
      </c>
      <c r="AQ64" s="60" t="n">
        <f aca="false">IF(AND(S64&gt;0,SUM(AE64:AN64)=0),S64,0)</f>
        <v>0</v>
      </c>
      <c r="AR64" s="60" t="str">
        <f aca="false">IF(AND(N64&lt;&gt;"",TodayDay&lt;&gt;"",N64=TodayDay),COUNTIF($N$6:N64,TodayDay),"")</f>
        <v/>
      </c>
      <c r="AS64" s="60" t="n">
        <f aca="false">IF(B64="",0,IF(COUNTIFS(Settings!$A$5:$A$29,B64,Settings!$B$5:$B$29,"Yes")&gt;0,1,0))</f>
        <v>0</v>
      </c>
      <c r="AT64" s="61" t="n">
        <f aca="false">IF(OR(N64="",TodayDay=""),IF(N64="",S64,0),IF(N64&lt;TodayDay,S64,0))</f>
        <v>0</v>
      </c>
    </row>
    <row r="65" customFormat="false" ht="15" hidden="false" customHeight="false" outlineLevel="0" collapsed="false">
      <c r="A65" s="23"/>
      <c r="B65" s="23"/>
      <c r="C65" s="23"/>
      <c r="D65" s="56"/>
      <c r="E65" s="23"/>
      <c r="F65" s="23"/>
      <c r="G65" s="23"/>
      <c r="H65" s="23"/>
      <c r="I65" s="56"/>
      <c r="J65" s="23"/>
      <c r="K65" s="28"/>
      <c r="L65" s="23"/>
      <c r="M65" s="23"/>
      <c r="N65" s="25" t="str">
        <f aca="false">IF(A65="","",IF(LEFT(A65,3)="Pre",0,IFERROR(VALUE(MID(A65,5,FIND(" ",A65&amp;" ",5)-5)),"")))</f>
        <v/>
      </c>
      <c r="O65" s="57" t="str">
        <f aca="false">IF(N65="","",IF(N65=0,"Before trip",IF(TripStart="","",TripStart+N65-1)))</f>
        <v/>
      </c>
      <c r="P65" s="58" t="str">
        <f aca="false">IF(AND(D65="",I65=""),"",IF(OR(E65="",E65=HomeCcy),1,IFERROR(INDEX(Setup!$J$26:$J$33,MATCH(E65,Setup!$G$26:$G$33,0)),IFERROR(INDEX(Settings!$S$5:$S$64,MATCH(E65,Settings!$R$5:$R$64,0))/HomeINR,1))))</f>
        <v/>
      </c>
      <c r="Q65" s="34" t="str">
        <f aca="false">IF(D65="","",D65*P65)</f>
        <v/>
      </c>
      <c r="R65" s="34" t="str">
        <f aca="false">IF(I65="","",I65*P65)</f>
        <v/>
      </c>
      <c r="S65" s="33" t="n">
        <f aca="false">IF(H65="Cancelled",0,IF(R65&lt;&gt;"",R65,IF(Q65&lt;&gt;"",Q65,0)))</f>
        <v>0</v>
      </c>
      <c r="T65" s="45" t="str">
        <f aca="false">IF(S65=0,"",IF(SUM(AE65:AN65)=0,"⚠ nobody picked",COUNTIF(AE65:AN65,"&gt;0")&amp;" people"))</f>
        <v/>
      </c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60" t="n">
        <f aca="false">IF(OR($S65=0,Setup!$B$18=""),0,IF(OR($G65="",$G65="Everyone"),1,IF($G65="Custom",N(U65),IF(OR($G65=Setup!$B$18,AND(Setup!$C$18&lt;&gt;"",$G65=Setup!$C$18)),1,0))))</f>
        <v>0</v>
      </c>
      <c r="AF65" s="60" t="n">
        <f aca="false">IF(OR($S65=0,Setup!$B$19=""),0,IF(OR($G65="",$G65="Everyone"),1,IF($G65="Custom",N(V65),IF(OR($G65=Setup!$B$19,AND(Setup!$C$19&lt;&gt;"",$G65=Setup!$C$19)),1,0))))</f>
        <v>0</v>
      </c>
      <c r="AG65" s="60" t="n">
        <f aca="false">IF(OR($S65=0,Setup!$B$20=""),0,IF(OR($G65="",$G65="Everyone"),1,IF($G65="Custom",N(W65),IF(OR($G65=Setup!$B$20,AND(Setup!$C$20&lt;&gt;"",$G65=Setup!$C$20)),1,0))))</f>
        <v>0</v>
      </c>
      <c r="AH65" s="60" t="n">
        <f aca="false">IF(OR($S65=0,Setup!$B$21=""),0,IF(OR($G65="",$G65="Everyone"),1,IF($G65="Custom",N(X65),IF(OR($G65=Setup!$B$21,AND(Setup!$C$21&lt;&gt;"",$G65=Setup!$C$21)),1,0))))</f>
        <v>0</v>
      </c>
      <c r="AI65" s="60" t="n">
        <f aca="false">IF(OR($S65=0,Setup!$B$22=""),0,IF(OR($G65="",$G65="Everyone"),1,IF($G65="Custom",N(Y65),IF(OR($G65=Setup!$B$22,AND(Setup!$C$22&lt;&gt;"",$G65=Setup!$C$22)),1,0))))</f>
        <v>0</v>
      </c>
      <c r="AJ65" s="60" t="n">
        <f aca="false">IF(OR($S65=0,Setup!$B$23=""),0,IF(OR($G65="",$G65="Everyone"),1,IF($G65="Custom",N(Z65),IF(OR($G65=Setup!$B$23,AND(Setup!$C$23&lt;&gt;"",$G65=Setup!$C$23)),1,0))))</f>
        <v>0</v>
      </c>
      <c r="AK65" s="60" t="n">
        <f aca="false">IF(OR($S65=0,Setup!$B$24=""),0,IF(OR($G65="",$G65="Everyone"),1,IF($G65="Custom",N(AA65),IF(OR($G65=Setup!$B$24,AND(Setup!$C$24&lt;&gt;"",$G65=Setup!$C$24)),1,0))))</f>
        <v>0</v>
      </c>
      <c r="AL65" s="60" t="n">
        <f aca="false">IF(OR($S65=0,Setup!$B$25=""),0,IF(OR($G65="",$G65="Everyone"),1,IF($G65="Custom",N(AB65),IF(OR($G65=Setup!$B$25,AND(Setup!$C$25&lt;&gt;"",$G65=Setup!$C$25)),1,0))))</f>
        <v>0</v>
      </c>
      <c r="AM65" s="60" t="n">
        <f aca="false">IF(OR($S65=0,Setup!$B$26=""),0,IF(OR($G65="",$G65="Everyone"),1,IF($G65="Custom",N(AC65),IF(OR($G65=Setup!$B$26,AND(Setup!$C$26&lt;&gt;"",$G65=Setup!$C$26)),1,0))))</f>
        <v>0</v>
      </c>
      <c r="AN65" s="60" t="n">
        <f aca="false">IF(OR($S65=0,Setup!$B$27=""),0,IF(OR($G65="",$G65="Everyone"),1,IF($G65="Custom",N(AD65),IF(OR($G65=Setup!$B$27,AND(Setup!$C$27&lt;&gt;"",$G65=Setup!$C$27)),1,0))))</f>
        <v>0</v>
      </c>
      <c r="AO65" s="60" t="n">
        <f aca="false">IF(SUM(AE65:AN65)=0,1,SUM(AE65:AN65))</f>
        <v>1</v>
      </c>
      <c r="AP65" s="60" t="n">
        <f aca="false">IF(H65="Paid",1,0)</f>
        <v>0</v>
      </c>
      <c r="AQ65" s="60" t="n">
        <f aca="false">IF(AND(S65&gt;0,SUM(AE65:AN65)=0),S65,0)</f>
        <v>0</v>
      </c>
      <c r="AR65" s="60" t="str">
        <f aca="false">IF(AND(N65&lt;&gt;"",TodayDay&lt;&gt;"",N65=TodayDay),COUNTIF($N$6:N65,TodayDay),"")</f>
        <v/>
      </c>
      <c r="AS65" s="60" t="n">
        <f aca="false">IF(B65="",0,IF(COUNTIFS(Settings!$A$5:$A$29,B65,Settings!$B$5:$B$29,"Yes")&gt;0,1,0))</f>
        <v>0</v>
      </c>
      <c r="AT65" s="61" t="n">
        <f aca="false">IF(OR(N65="",TodayDay=""),IF(N65="",S65,0),IF(N65&lt;TodayDay,S65,0))</f>
        <v>0</v>
      </c>
    </row>
    <row r="66" customFormat="false" ht="15" hidden="false" customHeight="false" outlineLevel="0" collapsed="false">
      <c r="A66" s="23"/>
      <c r="B66" s="23"/>
      <c r="C66" s="23"/>
      <c r="D66" s="56"/>
      <c r="E66" s="23"/>
      <c r="F66" s="23"/>
      <c r="G66" s="23"/>
      <c r="H66" s="23"/>
      <c r="I66" s="56"/>
      <c r="J66" s="23"/>
      <c r="K66" s="28"/>
      <c r="L66" s="23"/>
      <c r="M66" s="23"/>
      <c r="N66" s="25" t="str">
        <f aca="false">IF(A66="","",IF(LEFT(A66,3)="Pre",0,IFERROR(VALUE(MID(A66,5,FIND(" ",A66&amp;" ",5)-5)),"")))</f>
        <v/>
      </c>
      <c r="O66" s="57" t="str">
        <f aca="false">IF(N66="","",IF(N66=0,"Before trip",IF(TripStart="","",TripStart+N66-1)))</f>
        <v/>
      </c>
      <c r="P66" s="58" t="str">
        <f aca="false">IF(AND(D66="",I66=""),"",IF(OR(E66="",E66=HomeCcy),1,IFERROR(INDEX(Setup!$J$26:$J$33,MATCH(E66,Setup!$G$26:$G$33,0)),IFERROR(INDEX(Settings!$S$5:$S$64,MATCH(E66,Settings!$R$5:$R$64,0))/HomeINR,1))))</f>
        <v/>
      </c>
      <c r="Q66" s="34" t="str">
        <f aca="false">IF(D66="","",D66*P66)</f>
        <v/>
      </c>
      <c r="R66" s="34" t="str">
        <f aca="false">IF(I66="","",I66*P66)</f>
        <v/>
      </c>
      <c r="S66" s="33" t="n">
        <f aca="false">IF(H66="Cancelled",0,IF(R66&lt;&gt;"",R66,IF(Q66&lt;&gt;"",Q66,0)))</f>
        <v>0</v>
      </c>
      <c r="T66" s="45" t="str">
        <f aca="false">IF(S66=0,"",IF(SUM(AE66:AN66)=0,"⚠ nobody picked",COUNTIF(AE66:AN66,"&gt;0")&amp;" people"))</f>
        <v/>
      </c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60" t="n">
        <f aca="false">IF(OR($S66=0,Setup!$B$18=""),0,IF(OR($G66="",$G66="Everyone"),1,IF($G66="Custom",N(U66),IF(OR($G66=Setup!$B$18,AND(Setup!$C$18&lt;&gt;"",$G66=Setup!$C$18)),1,0))))</f>
        <v>0</v>
      </c>
      <c r="AF66" s="60" t="n">
        <f aca="false">IF(OR($S66=0,Setup!$B$19=""),0,IF(OR($G66="",$G66="Everyone"),1,IF($G66="Custom",N(V66),IF(OR($G66=Setup!$B$19,AND(Setup!$C$19&lt;&gt;"",$G66=Setup!$C$19)),1,0))))</f>
        <v>0</v>
      </c>
      <c r="AG66" s="60" t="n">
        <f aca="false">IF(OR($S66=0,Setup!$B$20=""),0,IF(OR($G66="",$G66="Everyone"),1,IF($G66="Custom",N(W66),IF(OR($G66=Setup!$B$20,AND(Setup!$C$20&lt;&gt;"",$G66=Setup!$C$20)),1,0))))</f>
        <v>0</v>
      </c>
      <c r="AH66" s="60" t="n">
        <f aca="false">IF(OR($S66=0,Setup!$B$21=""),0,IF(OR($G66="",$G66="Everyone"),1,IF($G66="Custom",N(X66),IF(OR($G66=Setup!$B$21,AND(Setup!$C$21&lt;&gt;"",$G66=Setup!$C$21)),1,0))))</f>
        <v>0</v>
      </c>
      <c r="AI66" s="60" t="n">
        <f aca="false">IF(OR($S66=0,Setup!$B$22=""),0,IF(OR($G66="",$G66="Everyone"),1,IF($G66="Custom",N(Y66),IF(OR($G66=Setup!$B$22,AND(Setup!$C$22&lt;&gt;"",$G66=Setup!$C$22)),1,0))))</f>
        <v>0</v>
      </c>
      <c r="AJ66" s="60" t="n">
        <f aca="false">IF(OR($S66=0,Setup!$B$23=""),0,IF(OR($G66="",$G66="Everyone"),1,IF($G66="Custom",N(Z66),IF(OR($G66=Setup!$B$23,AND(Setup!$C$23&lt;&gt;"",$G66=Setup!$C$23)),1,0))))</f>
        <v>0</v>
      </c>
      <c r="AK66" s="60" t="n">
        <f aca="false">IF(OR($S66=0,Setup!$B$24=""),0,IF(OR($G66="",$G66="Everyone"),1,IF($G66="Custom",N(AA66),IF(OR($G66=Setup!$B$24,AND(Setup!$C$24&lt;&gt;"",$G66=Setup!$C$24)),1,0))))</f>
        <v>0</v>
      </c>
      <c r="AL66" s="60" t="n">
        <f aca="false">IF(OR($S66=0,Setup!$B$25=""),0,IF(OR($G66="",$G66="Everyone"),1,IF($G66="Custom",N(AB66),IF(OR($G66=Setup!$B$25,AND(Setup!$C$25&lt;&gt;"",$G66=Setup!$C$25)),1,0))))</f>
        <v>0</v>
      </c>
      <c r="AM66" s="60" t="n">
        <f aca="false">IF(OR($S66=0,Setup!$B$26=""),0,IF(OR($G66="",$G66="Everyone"),1,IF($G66="Custom",N(AC66),IF(OR($G66=Setup!$B$26,AND(Setup!$C$26&lt;&gt;"",$G66=Setup!$C$26)),1,0))))</f>
        <v>0</v>
      </c>
      <c r="AN66" s="60" t="n">
        <f aca="false">IF(OR($S66=0,Setup!$B$27=""),0,IF(OR($G66="",$G66="Everyone"),1,IF($G66="Custom",N(AD66),IF(OR($G66=Setup!$B$27,AND(Setup!$C$27&lt;&gt;"",$G66=Setup!$C$27)),1,0))))</f>
        <v>0</v>
      </c>
      <c r="AO66" s="60" t="n">
        <f aca="false">IF(SUM(AE66:AN66)=0,1,SUM(AE66:AN66))</f>
        <v>1</v>
      </c>
      <c r="AP66" s="60" t="n">
        <f aca="false">IF(H66="Paid",1,0)</f>
        <v>0</v>
      </c>
      <c r="AQ66" s="60" t="n">
        <f aca="false">IF(AND(S66&gt;0,SUM(AE66:AN66)=0),S66,0)</f>
        <v>0</v>
      </c>
      <c r="AR66" s="60" t="str">
        <f aca="false">IF(AND(N66&lt;&gt;"",TodayDay&lt;&gt;"",N66=TodayDay),COUNTIF($N$6:N66,TodayDay),"")</f>
        <v/>
      </c>
      <c r="AS66" s="60" t="n">
        <f aca="false">IF(B66="",0,IF(COUNTIFS(Settings!$A$5:$A$29,B66,Settings!$B$5:$B$29,"Yes")&gt;0,1,0))</f>
        <v>0</v>
      </c>
      <c r="AT66" s="61" t="n">
        <f aca="false">IF(OR(N66="",TodayDay=""),IF(N66="",S66,0),IF(N66&lt;TodayDay,S66,0))</f>
        <v>0</v>
      </c>
    </row>
    <row r="67" customFormat="false" ht="15" hidden="false" customHeight="false" outlineLevel="0" collapsed="false">
      <c r="A67" s="23"/>
      <c r="B67" s="23"/>
      <c r="C67" s="23"/>
      <c r="D67" s="56"/>
      <c r="E67" s="23"/>
      <c r="F67" s="23"/>
      <c r="G67" s="23"/>
      <c r="H67" s="23"/>
      <c r="I67" s="56"/>
      <c r="J67" s="23"/>
      <c r="K67" s="28"/>
      <c r="L67" s="23"/>
      <c r="M67" s="23"/>
      <c r="N67" s="25" t="str">
        <f aca="false">IF(A67="","",IF(LEFT(A67,3)="Pre",0,IFERROR(VALUE(MID(A67,5,FIND(" ",A67&amp;" ",5)-5)),"")))</f>
        <v/>
      </c>
      <c r="O67" s="57" t="str">
        <f aca="false">IF(N67="","",IF(N67=0,"Before trip",IF(TripStart="","",TripStart+N67-1)))</f>
        <v/>
      </c>
      <c r="P67" s="58" t="str">
        <f aca="false">IF(AND(D67="",I67=""),"",IF(OR(E67="",E67=HomeCcy),1,IFERROR(INDEX(Setup!$J$26:$J$33,MATCH(E67,Setup!$G$26:$G$33,0)),IFERROR(INDEX(Settings!$S$5:$S$64,MATCH(E67,Settings!$R$5:$R$64,0))/HomeINR,1))))</f>
        <v/>
      </c>
      <c r="Q67" s="34" t="str">
        <f aca="false">IF(D67="","",D67*P67)</f>
        <v/>
      </c>
      <c r="R67" s="34" t="str">
        <f aca="false">IF(I67="","",I67*P67)</f>
        <v/>
      </c>
      <c r="S67" s="33" t="n">
        <f aca="false">IF(H67="Cancelled",0,IF(R67&lt;&gt;"",R67,IF(Q67&lt;&gt;"",Q67,0)))</f>
        <v>0</v>
      </c>
      <c r="T67" s="45" t="str">
        <f aca="false">IF(S67=0,"",IF(SUM(AE67:AN67)=0,"⚠ nobody picked",COUNTIF(AE67:AN67,"&gt;0")&amp;" people"))</f>
        <v/>
      </c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60" t="n">
        <f aca="false">IF(OR($S67=0,Setup!$B$18=""),0,IF(OR($G67="",$G67="Everyone"),1,IF($G67="Custom",N(U67),IF(OR($G67=Setup!$B$18,AND(Setup!$C$18&lt;&gt;"",$G67=Setup!$C$18)),1,0))))</f>
        <v>0</v>
      </c>
      <c r="AF67" s="60" t="n">
        <f aca="false">IF(OR($S67=0,Setup!$B$19=""),0,IF(OR($G67="",$G67="Everyone"),1,IF($G67="Custom",N(V67),IF(OR($G67=Setup!$B$19,AND(Setup!$C$19&lt;&gt;"",$G67=Setup!$C$19)),1,0))))</f>
        <v>0</v>
      </c>
      <c r="AG67" s="60" t="n">
        <f aca="false">IF(OR($S67=0,Setup!$B$20=""),0,IF(OR($G67="",$G67="Everyone"),1,IF($G67="Custom",N(W67),IF(OR($G67=Setup!$B$20,AND(Setup!$C$20&lt;&gt;"",$G67=Setup!$C$20)),1,0))))</f>
        <v>0</v>
      </c>
      <c r="AH67" s="60" t="n">
        <f aca="false">IF(OR($S67=0,Setup!$B$21=""),0,IF(OR($G67="",$G67="Everyone"),1,IF($G67="Custom",N(X67),IF(OR($G67=Setup!$B$21,AND(Setup!$C$21&lt;&gt;"",$G67=Setup!$C$21)),1,0))))</f>
        <v>0</v>
      </c>
      <c r="AI67" s="60" t="n">
        <f aca="false">IF(OR($S67=0,Setup!$B$22=""),0,IF(OR($G67="",$G67="Everyone"),1,IF($G67="Custom",N(Y67),IF(OR($G67=Setup!$B$22,AND(Setup!$C$22&lt;&gt;"",$G67=Setup!$C$22)),1,0))))</f>
        <v>0</v>
      </c>
      <c r="AJ67" s="60" t="n">
        <f aca="false">IF(OR($S67=0,Setup!$B$23=""),0,IF(OR($G67="",$G67="Everyone"),1,IF($G67="Custom",N(Z67),IF(OR($G67=Setup!$B$23,AND(Setup!$C$23&lt;&gt;"",$G67=Setup!$C$23)),1,0))))</f>
        <v>0</v>
      </c>
      <c r="AK67" s="60" t="n">
        <f aca="false">IF(OR($S67=0,Setup!$B$24=""),0,IF(OR($G67="",$G67="Everyone"),1,IF($G67="Custom",N(AA67),IF(OR($G67=Setup!$B$24,AND(Setup!$C$24&lt;&gt;"",$G67=Setup!$C$24)),1,0))))</f>
        <v>0</v>
      </c>
      <c r="AL67" s="60" t="n">
        <f aca="false">IF(OR($S67=0,Setup!$B$25=""),0,IF(OR($G67="",$G67="Everyone"),1,IF($G67="Custom",N(AB67),IF(OR($G67=Setup!$B$25,AND(Setup!$C$25&lt;&gt;"",$G67=Setup!$C$25)),1,0))))</f>
        <v>0</v>
      </c>
      <c r="AM67" s="60" t="n">
        <f aca="false">IF(OR($S67=0,Setup!$B$26=""),0,IF(OR($G67="",$G67="Everyone"),1,IF($G67="Custom",N(AC67),IF(OR($G67=Setup!$B$26,AND(Setup!$C$26&lt;&gt;"",$G67=Setup!$C$26)),1,0))))</f>
        <v>0</v>
      </c>
      <c r="AN67" s="60" t="n">
        <f aca="false">IF(OR($S67=0,Setup!$B$27=""),0,IF(OR($G67="",$G67="Everyone"),1,IF($G67="Custom",N(AD67),IF(OR($G67=Setup!$B$27,AND(Setup!$C$27&lt;&gt;"",$G67=Setup!$C$27)),1,0))))</f>
        <v>0</v>
      </c>
      <c r="AO67" s="60" t="n">
        <f aca="false">IF(SUM(AE67:AN67)=0,1,SUM(AE67:AN67))</f>
        <v>1</v>
      </c>
      <c r="AP67" s="60" t="n">
        <f aca="false">IF(H67="Paid",1,0)</f>
        <v>0</v>
      </c>
      <c r="AQ67" s="60" t="n">
        <f aca="false">IF(AND(S67&gt;0,SUM(AE67:AN67)=0),S67,0)</f>
        <v>0</v>
      </c>
      <c r="AR67" s="60" t="str">
        <f aca="false">IF(AND(N67&lt;&gt;"",TodayDay&lt;&gt;"",N67=TodayDay),COUNTIF($N$6:N67,TodayDay),"")</f>
        <v/>
      </c>
      <c r="AS67" s="60" t="n">
        <f aca="false">IF(B67="",0,IF(COUNTIFS(Settings!$A$5:$A$29,B67,Settings!$B$5:$B$29,"Yes")&gt;0,1,0))</f>
        <v>0</v>
      </c>
      <c r="AT67" s="61" t="n">
        <f aca="false">IF(OR(N67="",TodayDay=""),IF(N67="",S67,0),IF(N67&lt;TodayDay,S67,0))</f>
        <v>0</v>
      </c>
    </row>
    <row r="68" customFormat="false" ht="15" hidden="false" customHeight="false" outlineLevel="0" collapsed="false">
      <c r="A68" s="23"/>
      <c r="B68" s="23"/>
      <c r="C68" s="23"/>
      <c r="D68" s="56"/>
      <c r="E68" s="23"/>
      <c r="F68" s="23"/>
      <c r="G68" s="23"/>
      <c r="H68" s="23"/>
      <c r="I68" s="56"/>
      <c r="J68" s="23"/>
      <c r="K68" s="28"/>
      <c r="L68" s="23"/>
      <c r="M68" s="23"/>
      <c r="N68" s="25" t="str">
        <f aca="false">IF(A68="","",IF(LEFT(A68,3)="Pre",0,IFERROR(VALUE(MID(A68,5,FIND(" ",A68&amp;" ",5)-5)),"")))</f>
        <v/>
      </c>
      <c r="O68" s="57" t="str">
        <f aca="false">IF(N68="","",IF(N68=0,"Before trip",IF(TripStart="","",TripStart+N68-1)))</f>
        <v/>
      </c>
      <c r="P68" s="58" t="str">
        <f aca="false">IF(AND(D68="",I68=""),"",IF(OR(E68="",E68=HomeCcy),1,IFERROR(INDEX(Setup!$J$26:$J$33,MATCH(E68,Setup!$G$26:$G$33,0)),IFERROR(INDEX(Settings!$S$5:$S$64,MATCH(E68,Settings!$R$5:$R$64,0))/HomeINR,1))))</f>
        <v/>
      </c>
      <c r="Q68" s="34" t="str">
        <f aca="false">IF(D68="","",D68*P68)</f>
        <v/>
      </c>
      <c r="R68" s="34" t="str">
        <f aca="false">IF(I68="","",I68*P68)</f>
        <v/>
      </c>
      <c r="S68" s="33" t="n">
        <f aca="false">IF(H68="Cancelled",0,IF(R68&lt;&gt;"",R68,IF(Q68&lt;&gt;"",Q68,0)))</f>
        <v>0</v>
      </c>
      <c r="T68" s="45" t="str">
        <f aca="false">IF(S68=0,"",IF(SUM(AE68:AN68)=0,"⚠ nobody picked",COUNTIF(AE68:AN68,"&gt;0")&amp;" people"))</f>
        <v/>
      </c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60" t="n">
        <f aca="false">IF(OR($S68=0,Setup!$B$18=""),0,IF(OR($G68="",$G68="Everyone"),1,IF($G68="Custom",N(U68),IF(OR($G68=Setup!$B$18,AND(Setup!$C$18&lt;&gt;"",$G68=Setup!$C$18)),1,0))))</f>
        <v>0</v>
      </c>
      <c r="AF68" s="60" t="n">
        <f aca="false">IF(OR($S68=0,Setup!$B$19=""),0,IF(OR($G68="",$G68="Everyone"),1,IF($G68="Custom",N(V68),IF(OR($G68=Setup!$B$19,AND(Setup!$C$19&lt;&gt;"",$G68=Setup!$C$19)),1,0))))</f>
        <v>0</v>
      </c>
      <c r="AG68" s="60" t="n">
        <f aca="false">IF(OR($S68=0,Setup!$B$20=""),0,IF(OR($G68="",$G68="Everyone"),1,IF($G68="Custom",N(W68),IF(OR($G68=Setup!$B$20,AND(Setup!$C$20&lt;&gt;"",$G68=Setup!$C$20)),1,0))))</f>
        <v>0</v>
      </c>
      <c r="AH68" s="60" t="n">
        <f aca="false">IF(OR($S68=0,Setup!$B$21=""),0,IF(OR($G68="",$G68="Everyone"),1,IF($G68="Custom",N(X68),IF(OR($G68=Setup!$B$21,AND(Setup!$C$21&lt;&gt;"",$G68=Setup!$C$21)),1,0))))</f>
        <v>0</v>
      </c>
      <c r="AI68" s="60" t="n">
        <f aca="false">IF(OR($S68=0,Setup!$B$22=""),0,IF(OR($G68="",$G68="Everyone"),1,IF($G68="Custom",N(Y68),IF(OR($G68=Setup!$B$22,AND(Setup!$C$22&lt;&gt;"",$G68=Setup!$C$22)),1,0))))</f>
        <v>0</v>
      </c>
      <c r="AJ68" s="60" t="n">
        <f aca="false">IF(OR($S68=0,Setup!$B$23=""),0,IF(OR($G68="",$G68="Everyone"),1,IF($G68="Custom",N(Z68),IF(OR($G68=Setup!$B$23,AND(Setup!$C$23&lt;&gt;"",$G68=Setup!$C$23)),1,0))))</f>
        <v>0</v>
      </c>
      <c r="AK68" s="60" t="n">
        <f aca="false">IF(OR($S68=0,Setup!$B$24=""),0,IF(OR($G68="",$G68="Everyone"),1,IF($G68="Custom",N(AA68),IF(OR($G68=Setup!$B$24,AND(Setup!$C$24&lt;&gt;"",$G68=Setup!$C$24)),1,0))))</f>
        <v>0</v>
      </c>
      <c r="AL68" s="60" t="n">
        <f aca="false">IF(OR($S68=0,Setup!$B$25=""),0,IF(OR($G68="",$G68="Everyone"),1,IF($G68="Custom",N(AB68),IF(OR($G68=Setup!$B$25,AND(Setup!$C$25&lt;&gt;"",$G68=Setup!$C$25)),1,0))))</f>
        <v>0</v>
      </c>
      <c r="AM68" s="60" t="n">
        <f aca="false">IF(OR($S68=0,Setup!$B$26=""),0,IF(OR($G68="",$G68="Everyone"),1,IF($G68="Custom",N(AC68),IF(OR($G68=Setup!$B$26,AND(Setup!$C$26&lt;&gt;"",$G68=Setup!$C$26)),1,0))))</f>
        <v>0</v>
      </c>
      <c r="AN68" s="60" t="n">
        <f aca="false">IF(OR($S68=0,Setup!$B$27=""),0,IF(OR($G68="",$G68="Everyone"),1,IF($G68="Custom",N(AD68),IF(OR($G68=Setup!$B$27,AND(Setup!$C$27&lt;&gt;"",$G68=Setup!$C$27)),1,0))))</f>
        <v>0</v>
      </c>
      <c r="AO68" s="60" t="n">
        <f aca="false">IF(SUM(AE68:AN68)=0,1,SUM(AE68:AN68))</f>
        <v>1</v>
      </c>
      <c r="AP68" s="60" t="n">
        <f aca="false">IF(H68="Paid",1,0)</f>
        <v>0</v>
      </c>
      <c r="AQ68" s="60" t="n">
        <f aca="false">IF(AND(S68&gt;0,SUM(AE68:AN68)=0),S68,0)</f>
        <v>0</v>
      </c>
      <c r="AR68" s="60" t="str">
        <f aca="false">IF(AND(N68&lt;&gt;"",TodayDay&lt;&gt;"",N68=TodayDay),COUNTIF($N$6:N68,TodayDay),"")</f>
        <v/>
      </c>
      <c r="AS68" s="60" t="n">
        <f aca="false">IF(B68="",0,IF(COUNTIFS(Settings!$A$5:$A$29,B68,Settings!$B$5:$B$29,"Yes")&gt;0,1,0))</f>
        <v>0</v>
      </c>
      <c r="AT68" s="61" t="n">
        <f aca="false">IF(OR(N68="",TodayDay=""),IF(N68="",S68,0),IF(N68&lt;TodayDay,S68,0))</f>
        <v>0</v>
      </c>
    </row>
    <row r="69" customFormat="false" ht="15" hidden="false" customHeight="false" outlineLevel="0" collapsed="false">
      <c r="A69" s="23"/>
      <c r="B69" s="23"/>
      <c r="C69" s="23"/>
      <c r="D69" s="56"/>
      <c r="E69" s="23"/>
      <c r="F69" s="23"/>
      <c r="G69" s="23"/>
      <c r="H69" s="23"/>
      <c r="I69" s="56"/>
      <c r="J69" s="23"/>
      <c r="K69" s="28"/>
      <c r="L69" s="23"/>
      <c r="M69" s="23"/>
      <c r="N69" s="25" t="str">
        <f aca="false">IF(A69="","",IF(LEFT(A69,3)="Pre",0,IFERROR(VALUE(MID(A69,5,FIND(" ",A69&amp;" ",5)-5)),"")))</f>
        <v/>
      </c>
      <c r="O69" s="57" t="str">
        <f aca="false">IF(N69="","",IF(N69=0,"Before trip",IF(TripStart="","",TripStart+N69-1)))</f>
        <v/>
      </c>
      <c r="P69" s="58" t="str">
        <f aca="false">IF(AND(D69="",I69=""),"",IF(OR(E69="",E69=HomeCcy),1,IFERROR(INDEX(Setup!$J$26:$J$33,MATCH(E69,Setup!$G$26:$G$33,0)),IFERROR(INDEX(Settings!$S$5:$S$64,MATCH(E69,Settings!$R$5:$R$64,0))/HomeINR,1))))</f>
        <v/>
      </c>
      <c r="Q69" s="34" t="str">
        <f aca="false">IF(D69="","",D69*P69)</f>
        <v/>
      </c>
      <c r="R69" s="34" t="str">
        <f aca="false">IF(I69="","",I69*P69)</f>
        <v/>
      </c>
      <c r="S69" s="33" t="n">
        <f aca="false">IF(H69="Cancelled",0,IF(R69&lt;&gt;"",R69,IF(Q69&lt;&gt;"",Q69,0)))</f>
        <v>0</v>
      </c>
      <c r="T69" s="45" t="str">
        <f aca="false">IF(S69=0,"",IF(SUM(AE69:AN69)=0,"⚠ nobody picked",COUNTIF(AE69:AN69,"&gt;0")&amp;" people"))</f>
        <v/>
      </c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60" t="n">
        <f aca="false">IF(OR($S69=0,Setup!$B$18=""),0,IF(OR($G69="",$G69="Everyone"),1,IF($G69="Custom",N(U69),IF(OR($G69=Setup!$B$18,AND(Setup!$C$18&lt;&gt;"",$G69=Setup!$C$18)),1,0))))</f>
        <v>0</v>
      </c>
      <c r="AF69" s="60" t="n">
        <f aca="false">IF(OR($S69=0,Setup!$B$19=""),0,IF(OR($G69="",$G69="Everyone"),1,IF($G69="Custom",N(V69),IF(OR($G69=Setup!$B$19,AND(Setup!$C$19&lt;&gt;"",$G69=Setup!$C$19)),1,0))))</f>
        <v>0</v>
      </c>
      <c r="AG69" s="60" t="n">
        <f aca="false">IF(OR($S69=0,Setup!$B$20=""),0,IF(OR($G69="",$G69="Everyone"),1,IF($G69="Custom",N(W69),IF(OR($G69=Setup!$B$20,AND(Setup!$C$20&lt;&gt;"",$G69=Setup!$C$20)),1,0))))</f>
        <v>0</v>
      </c>
      <c r="AH69" s="60" t="n">
        <f aca="false">IF(OR($S69=0,Setup!$B$21=""),0,IF(OR($G69="",$G69="Everyone"),1,IF($G69="Custom",N(X69),IF(OR($G69=Setup!$B$21,AND(Setup!$C$21&lt;&gt;"",$G69=Setup!$C$21)),1,0))))</f>
        <v>0</v>
      </c>
      <c r="AI69" s="60" t="n">
        <f aca="false">IF(OR($S69=0,Setup!$B$22=""),0,IF(OR($G69="",$G69="Everyone"),1,IF($G69="Custom",N(Y69),IF(OR($G69=Setup!$B$22,AND(Setup!$C$22&lt;&gt;"",$G69=Setup!$C$22)),1,0))))</f>
        <v>0</v>
      </c>
      <c r="AJ69" s="60" t="n">
        <f aca="false">IF(OR($S69=0,Setup!$B$23=""),0,IF(OR($G69="",$G69="Everyone"),1,IF($G69="Custom",N(Z69),IF(OR($G69=Setup!$B$23,AND(Setup!$C$23&lt;&gt;"",$G69=Setup!$C$23)),1,0))))</f>
        <v>0</v>
      </c>
      <c r="AK69" s="60" t="n">
        <f aca="false">IF(OR($S69=0,Setup!$B$24=""),0,IF(OR($G69="",$G69="Everyone"),1,IF($G69="Custom",N(AA69),IF(OR($G69=Setup!$B$24,AND(Setup!$C$24&lt;&gt;"",$G69=Setup!$C$24)),1,0))))</f>
        <v>0</v>
      </c>
      <c r="AL69" s="60" t="n">
        <f aca="false">IF(OR($S69=0,Setup!$B$25=""),0,IF(OR($G69="",$G69="Everyone"),1,IF($G69="Custom",N(AB69),IF(OR($G69=Setup!$B$25,AND(Setup!$C$25&lt;&gt;"",$G69=Setup!$C$25)),1,0))))</f>
        <v>0</v>
      </c>
      <c r="AM69" s="60" t="n">
        <f aca="false">IF(OR($S69=0,Setup!$B$26=""),0,IF(OR($G69="",$G69="Everyone"),1,IF($G69="Custom",N(AC69),IF(OR($G69=Setup!$B$26,AND(Setup!$C$26&lt;&gt;"",$G69=Setup!$C$26)),1,0))))</f>
        <v>0</v>
      </c>
      <c r="AN69" s="60" t="n">
        <f aca="false">IF(OR($S69=0,Setup!$B$27=""),0,IF(OR($G69="",$G69="Everyone"),1,IF($G69="Custom",N(AD69),IF(OR($G69=Setup!$B$27,AND(Setup!$C$27&lt;&gt;"",$G69=Setup!$C$27)),1,0))))</f>
        <v>0</v>
      </c>
      <c r="AO69" s="60" t="n">
        <f aca="false">IF(SUM(AE69:AN69)=0,1,SUM(AE69:AN69))</f>
        <v>1</v>
      </c>
      <c r="AP69" s="60" t="n">
        <f aca="false">IF(H69="Paid",1,0)</f>
        <v>0</v>
      </c>
      <c r="AQ69" s="60" t="n">
        <f aca="false">IF(AND(S69&gt;0,SUM(AE69:AN69)=0),S69,0)</f>
        <v>0</v>
      </c>
      <c r="AR69" s="60" t="str">
        <f aca="false">IF(AND(N69&lt;&gt;"",TodayDay&lt;&gt;"",N69=TodayDay),COUNTIF($N$6:N69,TodayDay),"")</f>
        <v/>
      </c>
      <c r="AS69" s="60" t="n">
        <f aca="false">IF(B69="",0,IF(COUNTIFS(Settings!$A$5:$A$29,B69,Settings!$B$5:$B$29,"Yes")&gt;0,1,0))</f>
        <v>0</v>
      </c>
      <c r="AT69" s="61" t="n">
        <f aca="false">IF(OR(N69="",TodayDay=""),IF(N69="",S69,0),IF(N69&lt;TodayDay,S69,0))</f>
        <v>0</v>
      </c>
    </row>
    <row r="70" customFormat="false" ht="15" hidden="false" customHeight="false" outlineLevel="0" collapsed="false">
      <c r="A70" s="23"/>
      <c r="B70" s="23"/>
      <c r="C70" s="23"/>
      <c r="D70" s="56"/>
      <c r="E70" s="23"/>
      <c r="F70" s="23"/>
      <c r="G70" s="23"/>
      <c r="H70" s="23"/>
      <c r="I70" s="56"/>
      <c r="J70" s="23"/>
      <c r="K70" s="28"/>
      <c r="L70" s="23"/>
      <c r="M70" s="23"/>
      <c r="N70" s="25" t="str">
        <f aca="false">IF(A70="","",IF(LEFT(A70,3)="Pre",0,IFERROR(VALUE(MID(A70,5,FIND(" ",A70&amp;" ",5)-5)),"")))</f>
        <v/>
      </c>
      <c r="O70" s="57" t="str">
        <f aca="false">IF(N70="","",IF(N70=0,"Before trip",IF(TripStart="","",TripStart+N70-1)))</f>
        <v/>
      </c>
      <c r="P70" s="58" t="str">
        <f aca="false">IF(AND(D70="",I70=""),"",IF(OR(E70="",E70=HomeCcy),1,IFERROR(INDEX(Setup!$J$26:$J$33,MATCH(E70,Setup!$G$26:$G$33,0)),IFERROR(INDEX(Settings!$S$5:$S$64,MATCH(E70,Settings!$R$5:$R$64,0))/HomeINR,1))))</f>
        <v/>
      </c>
      <c r="Q70" s="34" t="str">
        <f aca="false">IF(D70="","",D70*P70)</f>
        <v/>
      </c>
      <c r="R70" s="34" t="str">
        <f aca="false">IF(I70="","",I70*P70)</f>
        <v/>
      </c>
      <c r="S70" s="33" t="n">
        <f aca="false">IF(H70="Cancelled",0,IF(R70&lt;&gt;"",R70,IF(Q70&lt;&gt;"",Q70,0)))</f>
        <v>0</v>
      </c>
      <c r="T70" s="45" t="str">
        <f aca="false">IF(S70=0,"",IF(SUM(AE70:AN70)=0,"⚠ nobody picked",COUNTIF(AE70:AN70,"&gt;0")&amp;" people"))</f>
        <v/>
      </c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60" t="n">
        <f aca="false">IF(OR($S70=0,Setup!$B$18=""),0,IF(OR($G70="",$G70="Everyone"),1,IF($G70="Custom",N(U70),IF(OR($G70=Setup!$B$18,AND(Setup!$C$18&lt;&gt;"",$G70=Setup!$C$18)),1,0))))</f>
        <v>0</v>
      </c>
      <c r="AF70" s="60" t="n">
        <f aca="false">IF(OR($S70=0,Setup!$B$19=""),0,IF(OR($G70="",$G70="Everyone"),1,IF($G70="Custom",N(V70),IF(OR($G70=Setup!$B$19,AND(Setup!$C$19&lt;&gt;"",$G70=Setup!$C$19)),1,0))))</f>
        <v>0</v>
      </c>
      <c r="AG70" s="60" t="n">
        <f aca="false">IF(OR($S70=0,Setup!$B$20=""),0,IF(OR($G70="",$G70="Everyone"),1,IF($G70="Custom",N(W70),IF(OR($G70=Setup!$B$20,AND(Setup!$C$20&lt;&gt;"",$G70=Setup!$C$20)),1,0))))</f>
        <v>0</v>
      </c>
      <c r="AH70" s="60" t="n">
        <f aca="false">IF(OR($S70=0,Setup!$B$21=""),0,IF(OR($G70="",$G70="Everyone"),1,IF($G70="Custom",N(X70),IF(OR($G70=Setup!$B$21,AND(Setup!$C$21&lt;&gt;"",$G70=Setup!$C$21)),1,0))))</f>
        <v>0</v>
      </c>
      <c r="AI70" s="60" t="n">
        <f aca="false">IF(OR($S70=0,Setup!$B$22=""),0,IF(OR($G70="",$G70="Everyone"),1,IF($G70="Custom",N(Y70),IF(OR($G70=Setup!$B$22,AND(Setup!$C$22&lt;&gt;"",$G70=Setup!$C$22)),1,0))))</f>
        <v>0</v>
      </c>
      <c r="AJ70" s="60" t="n">
        <f aca="false">IF(OR($S70=0,Setup!$B$23=""),0,IF(OR($G70="",$G70="Everyone"),1,IF($G70="Custom",N(Z70),IF(OR($G70=Setup!$B$23,AND(Setup!$C$23&lt;&gt;"",$G70=Setup!$C$23)),1,0))))</f>
        <v>0</v>
      </c>
      <c r="AK70" s="60" t="n">
        <f aca="false">IF(OR($S70=0,Setup!$B$24=""),0,IF(OR($G70="",$G70="Everyone"),1,IF($G70="Custom",N(AA70),IF(OR($G70=Setup!$B$24,AND(Setup!$C$24&lt;&gt;"",$G70=Setup!$C$24)),1,0))))</f>
        <v>0</v>
      </c>
      <c r="AL70" s="60" t="n">
        <f aca="false">IF(OR($S70=0,Setup!$B$25=""),0,IF(OR($G70="",$G70="Everyone"),1,IF($G70="Custom",N(AB70),IF(OR($G70=Setup!$B$25,AND(Setup!$C$25&lt;&gt;"",$G70=Setup!$C$25)),1,0))))</f>
        <v>0</v>
      </c>
      <c r="AM70" s="60" t="n">
        <f aca="false">IF(OR($S70=0,Setup!$B$26=""),0,IF(OR($G70="",$G70="Everyone"),1,IF($G70="Custom",N(AC70),IF(OR($G70=Setup!$B$26,AND(Setup!$C$26&lt;&gt;"",$G70=Setup!$C$26)),1,0))))</f>
        <v>0</v>
      </c>
      <c r="AN70" s="60" t="n">
        <f aca="false">IF(OR($S70=0,Setup!$B$27=""),0,IF(OR($G70="",$G70="Everyone"),1,IF($G70="Custom",N(AD70),IF(OR($G70=Setup!$B$27,AND(Setup!$C$27&lt;&gt;"",$G70=Setup!$C$27)),1,0))))</f>
        <v>0</v>
      </c>
      <c r="AO70" s="60" t="n">
        <f aca="false">IF(SUM(AE70:AN70)=0,1,SUM(AE70:AN70))</f>
        <v>1</v>
      </c>
      <c r="AP70" s="60" t="n">
        <f aca="false">IF(H70="Paid",1,0)</f>
        <v>0</v>
      </c>
      <c r="AQ70" s="60" t="n">
        <f aca="false">IF(AND(S70&gt;0,SUM(AE70:AN70)=0),S70,0)</f>
        <v>0</v>
      </c>
      <c r="AR70" s="60" t="str">
        <f aca="false">IF(AND(N70&lt;&gt;"",TodayDay&lt;&gt;"",N70=TodayDay),COUNTIF($N$6:N70,TodayDay),"")</f>
        <v/>
      </c>
      <c r="AS70" s="60" t="n">
        <f aca="false">IF(B70="",0,IF(COUNTIFS(Settings!$A$5:$A$29,B70,Settings!$B$5:$B$29,"Yes")&gt;0,1,0))</f>
        <v>0</v>
      </c>
      <c r="AT70" s="61" t="n">
        <f aca="false">IF(OR(N70="",TodayDay=""),IF(N70="",S70,0),IF(N70&lt;TodayDay,S70,0))</f>
        <v>0</v>
      </c>
    </row>
    <row r="71" customFormat="false" ht="15" hidden="false" customHeight="false" outlineLevel="0" collapsed="false">
      <c r="A71" s="23"/>
      <c r="B71" s="23"/>
      <c r="C71" s="23"/>
      <c r="D71" s="56"/>
      <c r="E71" s="23"/>
      <c r="F71" s="23"/>
      <c r="G71" s="23"/>
      <c r="H71" s="23"/>
      <c r="I71" s="56"/>
      <c r="J71" s="23"/>
      <c r="K71" s="28"/>
      <c r="L71" s="23"/>
      <c r="M71" s="23"/>
      <c r="N71" s="25" t="str">
        <f aca="false">IF(A71="","",IF(LEFT(A71,3)="Pre",0,IFERROR(VALUE(MID(A71,5,FIND(" ",A71&amp;" ",5)-5)),"")))</f>
        <v/>
      </c>
      <c r="O71" s="57" t="str">
        <f aca="false">IF(N71="","",IF(N71=0,"Before trip",IF(TripStart="","",TripStart+N71-1)))</f>
        <v/>
      </c>
      <c r="P71" s="58" t="str">
        <f aca="false">IF(AND(D71="",I71=""),"",IF(OR(E71="",E71=HomeCcy),1,IFERROR(INDEX(Setup!$J$26:$J$33,MATCH(E71,Setup!$G$26:$G$33,0)),IFERROR(INDEX(Settings!$S$5:$S$64,MATCH(E71,Settings!$R$5:$R$64,0))/HomeINR,1))))</f>
        <v/>
      </c>
      <c r="Q71" s="34" t="str">
        <f aca="false">IF(D71="","",D71*P71)</f>
        <v/>
      </c>
      <c r="R71" s="34" t="str">
        <f aca="false">IF(I71="","",I71*P71)</f>
        <v/>
      </c>
      <c r="S71" s="33" t="n">
        <f aca="false">IF(H71="Cancelled",0,IF(R71&lt;&gt;"",R71,IF(Q71&lt;&gt;"",Q71,0)))</f>
        <v>0</v>
      </c>
      <c r="T71" s="45" t="str">
        <f aca="false">IF(S71=0,"",IF(SUM(AE71:AN71)=0,"⚠ nobody picked",COUNTIF(AE71:AN71,"&gt;0")&amp;" people"))</f>
        <v/>
      </c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60" t="n">
        <f aca="false">IF(OR($S71=0,Setup!$B$18=""),0,IF(OR($G71="",$G71="Everyone"),1,IF($G71="Custom",N(U71),IF(OR($G71=Setup!$B$18,AND(Setup!$C$18&lt;&gt;"",$G71=Setup!$C$18)),1,0))))</f>
        <v>0</v>
      </c>
      <c r="AF71" s="60" t="n">
        <f aca="false">IF(OR($S71=0,Setup!$B$19=""),0,IF(OR($G71="",$G71="Everyone"),1,IF($G71="Custom",N(V71),IF(OR($G71=Setup!$B$19,AND(Setup!$C$19&lt;&gt;"",$G71=Setup!$C$19)),1,0))))</f>
        <v>0</v>
      </c>
      <c r="AG71" s="60" t="n">
        <f aca="false">IF(OR($S71=0,Setup!$B$20=""),0,IF(OR($G71="",$G71="Everyone"),1,IF($G71="Custom",N(W71),IF(OR($G71=Setup!$B$20,AND(Setup!$C$20&lt;&gt;"",$G71=Setup!$C$20)),1,0))))</f>
        <v>0</v>
      </c>
      <c r="AH71" s="60" t="n">
        <f aca="false">IF(OR($S71=0,Setup!$B$21=""),0,IF(OR($G71="",$G71="Everyone"),1,IF($G71="Custom",N(X71),IF(OR($G71=Setup!$B$21,AND(Setup!$C$21&lt;&gt;"",$G71=Setup!$C$21)),1,0))))</f>
        <v>0</v>
      </c>
      <c r="AI71" s="60" t="n">
        <f aca="false">IF(OR($S71=0,Setup!$B$22=""),0,IF(OR($G71="",$G71="Everyone"),1,IF($G71="Custom",N(Y71),IF(OR($G71=Setup!$B$22,AND(Setup!$C$22&lt;&gt;"",$G71=Setup!$C$22)),1,0))))</f>
        <v>0</v>
      </c>
      <c r="AJ71" s="60" t="n">
        <f aca="false">IF(OR($S71=0,Setup!$B$23=""),0,IF(OR($G71="",$G71="Everyone"),1,IF($G71="Custom",N(Z71),IF(OR($G71=Setup!$B$23,AND(Setup!$C$23&lt;&gt;"",$G71=Setup!$C$23)),1,0))))</f>
        <v>0</v>
      </c>
      <c r="AK71" s="60" t="n">
        <f aca="false">IF(OR($S71=0,Setup!$B$24=""),0,IF(OR($G71="",$G71="Everyone"),1,IF($G71="Custom",N(AA71),IF(OR($G71=Setup!$B$24,AND(Setup!$C$24&lt;&gt;"",$G71=Setup!$C$24)),1,0))))</f>
        <v>0</v>
      </c>
      <c r="AL71" s="60" t="n">
        <f aca="false">IF(OR($S71=0,Setup!$B$25=""),0,IF(OR($G71="",$G71="Everyone"),1,IF($G71="Custom",N(AB71),IF(OR($G71=Setup!$B$25,AND(Setup!$C$25&lt;&gt;"",$G71=Setup!$C$25)),1,0))))</f>
        <v>0</v>
      </c>
      <c r="AM71" s="60" t="n">
        <f aca="false">IF(OR($S71=0,Setup!$B$26=""),0,IF(OR($G71="",$G71="Everyone"),1,IF($G71="Custom",N(AC71),IF(OR($G71=Setup!$B$26,AND(Setup!$C$26&lt;&gt;"",$G71=Setup!$C$26)),1,0))))</f>
        <v>0</v>
      </c>
      <c r="AN71" s="60" t="n">
        <f aca="false">IF(OR($S71=0,Setup!$B$27=""),0,IF(OR($G71="",$G71="Everyone"),1,IF($G71="Custom",N(AD71),IF(OR($G71=Setup!$B$27,AND(Setup!$C$27&lt;&gt;"",$G71=Setup!$C$27)),1,0))))</f>
        <v>0</v>
      </c>
      <c r="AO71" s="60" t="n">
        <f aca="false">IF(SUM(AE71:AN71)=0,1,SUM(AE71:AN71))</f>
        <v>1</v>
      </c>
      <c r="AP71" s="60" t="n">
        <f aca="false">IF(H71="Paid",1,0)</f>
        <v>0</v>
      </c>
      <c r="AQ71" s="60" t="n">
        <f aca="false">IF(AND(S71&gt;0,SUM(AE71:AN71)=0),S71,0)</f>
        <v>0</v>
      </c>
      <c r="AR71" s="60" t="str">
        <f aca="false">IF(AND(N71&lt;&gt;"",TodayDay&lt;&gt;"",N71=TodayDay),COUNTIF($N$6:N71,TodayDay),"")</f>
        <v/>
      </c>
      <c r="AS71" s="60" t="n">
        <f aca="false">IF(B71="",0,IF(COUNTIFS(Settings!$A$5:$A$29,B71,Settings!$B$5:$B$29,"Yes")&gt;0,1,0))</f>
        <v>0</v>
      </c>
      <c r="AT71" s="61" t="n">
        <f aca="false">IF(OR(N71="",TodayDay=""),IF(N71="",S71,0),IF(N71&lt;TodayDay,S71,0))</f>
        <v>0</v>
      </c>
    </row>
    <row r="72" customFormat="false" ht="15" hidden="false" customHeight="false" outlineLevel="0" collapsed="false">
      <c r="A72" s="23"/>
      <c r="B72" s="23"/>
      <c r="C72" s="23"/>
      <c r="D72" s="56"/>
      <c r="E72" s="23"/>
      <c r="F72" s="23"/>
      <c r="G72" s="23"/>
      <c r="H72" s="23"/>
      <c r="I72" s="56"/>
      <c r="J72" s="23"/>
      <c r="K72" s="28"/>
      <c r="L72" s="23"/>
      <c r="M72" s="23"/>
      <c r="N72" s="25" t="str">
        <f aca="false">IF(A72="","",IF(LEFT(A72,3)="Pre",0,IFERROR(VALUE(MID(A72,5,FIND(" ",A72&amp;" ",5)-5)),"")))</f>
        <v/>
      </c>
      <c r="O72" s="57" t="str">
        <f aca="false">IF(N72="","",IF(N72=0,"Before trip",IF(TripStart="","",TripStart+N72-1)))</f>
        <v/>
      </c>
      <c r="P72" s="58" t="str">
        <f aca="false">IF(AND(D72="",I72=""),"",IF(OR(E72="",E72=HomeCcy),1,IFERROR(INDEX(Setup!$J$26:$J$33,MATCH(E72,Setup!$G$26:$G$33,0)),IFERROR(INDEX(Settings!$S$5:$S$64,MATCH(E72,Settings!$R$5:$R$64,0))/HomeINR,1))))</f>
        <v/>
      </c>
      <c r="Q72" s="34" t="str">
        <f aca="false">IF(D72="","",D72*P72)</f>
        <v/>
      </c>
      <c r="R72" s="34" t="str">
        <f aca="false">IF(I72="","",I72*P72)</f>
        <v/>
      </c>
      <c r="S72" s="33" t="n">
        <f aca="false">IF(H72="Cancelled",0,IF(R72&lt;&gt;"",R72,IF(Q72&lt;&gt;"",Q72,0)))</f>
        <v>0</v>
      </c>
      <c r="T72" s="45" t="str">
        <f aca="false">IF(S72=0,"",IF(SUM(AE72:AN72)=0,"⚠ nobody picked",COUNTIF(AE72:AN72,"&gt;0")&amp;" people"))</f>
        <v/>
      </c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60" t="n">
        <f aca="false">IF(OR($S72=0,Setup!$B$18=""),0,IF(OR($G72="",$G72="Everyone"),1,IF($G72="Custom",N(U72),IF(OR($G72=Setup!$B$18,AND(Setup!$C$18&lt;&gt;"",$G72=Setup!$C$18)),1,0))))</f>
        <v>0</v>
      </c>
      <c r="AF72" s="60" t="n">
        <f aca="false">IF(OR($S72=0,Setup!$B$19=""),0,IF(OR($G72="",$G72="Everyone"),1,IF($G72="Custom",N(V72),IF(OR($G72=Setup!$B$19,AND(Setup!$C$19&lt;&gt;"",$G72=Setup!$C$19)),1,0))))</f>
        <v>0</v>
      </c>
      <c r="AG72" s="60" t="n">
        <f aca="false">IF(OR($S72=0,Setup!$B$20=""),0,IF(OR($G72="",$G72="Everyone"),1,IF($G72="Custom",N(W72),IF(OR($G72=Setup!$B$20,AND(Setup!$C$20&lt;&gt;"",$G72=Setup!$C$20)),1,0))))</f>
        <v>0</v>
      </c>
      <c r="AH72" s="60" t="n">
        <f aca="false">IF(OR($S72=0,Setup!$B$21=""),0,IF(OR($G72="",$G72="Everyone"),1,IF($G72="Custom",N(X72),IF(OR($G72=Setup!$B$21,AND(Setup!$C$21&lt;&gt;"",$G72=Setup!$C$21)),1,0))))</f>
        <v>0</v>
      </c>
      <c r="AI72" s="60" t="n">
        <f aca="false">IF(OR($S72=0,Setup!$B$22=""),0,IF(OR($G72="",$G72="Everyone"),1,IF($G72="Custom",N(Y72),IF(OR($G72=Setup!$B$22,AND(Setup!$C$22&lt;&gt;"",$G72=Setup!$C$22)),1,0))))</f>
        <v>0</v>
      </c>
      <c r="AJ72" s="60" t="n">
        <f aca="false">IF(OR($S72=0,Setup!$B$23=""),0,IF(OR($G72="",$G72="Everyone"),1,IF($G72="Custom",N(Z72),IF(OR($G72=Setup!$B$23,AND(Setup!$C$23&lt;&gt;"",$G72=Setup!$C$23)),1,0))))</f>
        <v>0</v>
      </c>
      <c r="AK72" s="60" t="n">
        <f aca="false">IF(OR($S72=0,Setup!$B$24=""),0,IF(OR($G72="",$G72="Everyone"),1,IF($G72="Custom",N(AA72),IF(OR($G72=Setup!$B$24,AND(Setup!$C$24&lt;&gt;"",$G72=Setup!$C$24)),1,0))))</f>
        <v>0</v>
      </c>
      <c r="AL72" s="60" t="n">
        <f aca="false">IF(OR($S72=0,Setup!$B$25=""),0,IF(OR($G72="",$G72="Everyone"),1,IF($G72="Custom",N(AB72),IF(OR($G72=Setup!$B$25,AND(Setup!$C$25&lt;&gt;"",$G72=Setup!$C$25)),1,0))))</f>
        <v>0</v>
      </c>
      <c r="AM72" s="60" t="n">
        <f aca="false">IF(OR($S72=0,Setup!$B$26=""),0,IF(OR($G72="",$G72="Everyone"),1,IF($G72="Custom",N(AC72),IF(OR($G72=Setup!$B$26,AND(Setup!$C$26&lt;&gt;"",$G72=Setup!$C$26)),1,0))))</f>
        <v>0</v>
      </c>
      <c r="AN72" s="60" t="n">
        <f aca="false">IF(OR($S72=0,Setup!$B$27=""),0,IF(OR($G72="",$G72="Everyone"),1,IF($G72="Custom",N(AD72),IF(OR($G72=Setup!$B$27,AND(Setup!$C$27&lt;&gt;"",$G72=Setup!$C$27)),1,0))))</f>
        <v>0</v>
      </c>
      <c r="AO72" s="60" t="n">
        <f aca="false">IF(SUM(AE72:AN72)=0,1,SUM(AE72:AN72))</f>
        <v>1</v>
      </c>
      <c r="AP72" s="60" t="n">
        <f aca="false">IF(H72="Paid",1,0)</f>
        <v>0</v>
      </c>
      <c r="AQ72" s="60" t="n">
        <f aca="false">IF(AND(S72&gt;0,SUM(AE72:AN72)=0),S72,0)</f>
        <v>0</v>
      </c>
      <c r="AR72" s="60" t="str">
        <f aca="false">IF(AND(N72&lt;&gt;"",TodayDay&lt;&gt;"",N72=TodayDay),COUNTIF($N$6:N72,TodayDay),"")</f>
        <v/>
      </c>
      <c r="AS72" s="60" t="n">
        <f aca="false">IF(B72="",0,IF(COUNTIFS(Settings!$A$5:$A$29,B72,Settings!$B$5:$B$29,"Yes")&gt;0,1,0))</f>
        <v>0</v>
      </c>
      <c r="AT72" s="61" t="n">
        <f aca="false">IF(OR(N72="",TodayDay=""),IF(N72="",S72,0),IF(N72&lt;TodayDay,S72,0))</f>
        <v>0</v>
      </c>
    </row>
    <row r="73" customFormat="false" ht="15" hidden="false" customHeight="false" outlineLevel="0" collapsed="false">
      <c r="A73" s="23"/>
      <c r="B73" s="23"/>
      <c r="C73" s="23"/>
      <c r="D73" s="56"/>
      <c r="E73" s="23"/>
      <c r="F73" s="23"/>
      <c r="G73" s="23"/>
      <c r="H73" s="23"/>
      <c r="I73" s="56"/>
      <c r="J73" s="23"/>
      <c r="K73" s="28"/>
      <c r="L73" s="23"/>
      <c r="M73" s="23"/>
      <c r="N73" s="25" t="str">
        <f aca="false">IF(A73="","",IF(LEFT(A73,3)="Pre",0,IFERROR(VALUE(MID(A73,5,FIND(" ",A73&amp;" ",5)-5)),"")))</f>
        <v/>
      </c>
      <c r="O73" s="57" t="str">
        <f aca="false">IF(N73="","",IF(N73=0,"Before trip",IF(TripStart="","",TripStart+N73-1)))</f>
        <v/>
      </c>
      <c r="P73" s="58" t="str">
        <f aca="false">IF(AND(D73="",I73=""),"",IF(OR(E73="",E73=HomeCcy),1,IFERROR(INDEX(Setup!$J$26:$J$33,MATCH(E73,Setup!$G$26:$G$33,0)),IFERROR(INDEX(Settings!$S$5:$S$64,MATCH(E73,Settings!$R$5:$R$64,0))/HomeINR,1))))</f>
        <v/>
      </c>
      <c r="Q73" s="34" t="str">
        <f aca="false">IF(D73="","",D73*P73)</f>
        <v/>
      </c>
      <c r="R73" s="34" t="str">
        <f aca="false">IF(I73="","",I73*P73)</f>
        <v/>
      </c>
      <c r="S73" s="33" t="n">
        <f aca="false">IF(H73="Cancelled",0,IF(R73&lt;&gt;"",R73,IF(Q73&lt;&gt;"",Q73,0)))</f>
        <v>0</v>
      </c>
      <c r="T73" s="45" t="str">
        <f aca="false">IF(S73=0,"",IF(SUM(AE73:AN73)=0,"⚠ nobody picked",COUNTIF(AE73:AN73,"&gt;0")&amp;" people"))</f>
        <v/>
      </c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60" t="n">
        <f aca="false">IF(OR($S73=0,Setup!$B$18=""),0,IF(OR($G73="",$G73="Everyone"),1,IF($G73="Custom",N(U73),IF(OR($G73=Setup!$B$18,AND(Setup!$C$18&lt;&gt;"",$G73=Setup!$C$18)),1,0))))</f>
        <v>0</v>
      </c>
      <c r="AF73" s="60" t="n">
        <f aca="false">IF(OR($S73=0,Setup!$B$19=""),0,IF(OR($G73="",$G73="Everyone"),1,IF($G73="Custom",N(V73),IF(OR($G73=Setup!$B$19,AND(Setup!$C$19&lt;&gt;"",$G73=Setup!$C$19)),1,0))))</f>
        <v>0</v>
      </c>
      <c r="AG73" s="60" t="n">
        <f aca="false">IF(OR($S73=0,Setup!$B$20=""),0,IF(OR($G73="",$G73="Everyone"),1,IF($G73="Custom",N(W73),IF(OR($G73=Setup!$B$20,AND(Setup!$C$20&lt;&gt;"",$G73=Setup!$C$20)),1,0))))</f>
        <v>0</v>
      </c>
      <c r="AH73" s="60" t="n">
        <f aca="false">IF(OR($S73=0,Setup!$B$21=""),0,IF(OR($G73="",$G73="Everyone"),1,IF($G73="Custom",N(X73),IF(OR($G73=Setup!$B$21,AND(Setup!$C$21&lt;&gt;"",$G73=Setup!$C$21)),1,0))))</f>
        <v>0</v>
      </c>
      <c r="AI73" s="60" t="n">
        <f aca="false">IF(OR($S73=0,Setup!$B$22=""),0,IF(OR($G73="",$G73="Everyone"),1,IF($G73="Custom",N(Y73),IF(OR($G73=Setup!$B$22,AND(Setup!$C$22&lt;&gt;"",$G73=Setup!$C$22)),1,0))))</f>
        <v>0</v>
      </c>
      <c r="AJ73" s="60" t="n">
        <f aca="false">IF(OR($S73=0,Setup!$B$23=""),0,IF(OR($G73="",$G73="Everyone"),1,IF($G73="Custom",N(Z73),IF(OR($G73=Setup!$B$23,AND(Setup!$C$23&lt;&gt;"",$G73=Setup!$C$23)),1,0))))</f>
        <v>0</v>
      </c>
      <c r="AK73" s="60" t="n">
        <f aca="false">IF(OR($S73=0,Setup!$B$24=""),0,IF(OR($G73="",$G73="Everyone"),1,IF($G73="Custom",N(AA73),IF(OR($G73=Setup!$B$24,AND(Setup!$C$24&lt;&gt;"",$G73=Setup!$C$24)),1,0))))</f>
        <v>0</v>
      </c>
      <c r="AL73" s="60" t="n">
        <f aca="false">IF(OR($S73=0,Setup!$B$25=""),0,IF(OR($G73="",$G73="Everyone"),1,IF($G73="Custom",N(AB73),IF(OR($G73=Setup!$B$25,AND(Setup!$C$25&lt;&gt;"",$G73=Setup!$C$25)),1,0))))</f>
        <v>0</v>
      </c>
      <c r="AM73" s="60" t="n">
        <f aca="false">IF(OR($S73=0,Setup!$B$26=""),0,IF(OR($G73="",$G73="Everyone"),1,IF($G73="Custom",N(AC73),IF(OR($G73=Setup!$B$26,AND(Setup!$C$26&lt;&gt;"",$G73=Setup!$C$26)),1,0))))</f>
        <v>0</v>
      </c>
      <c r="AN73" s="60" t="n">
        <f aca="false">IF(OR($S73=0,Setup!$B$27=""),0,IF(OR($G73="",$G73="Everyone"),1,IF($G73="Custom",N(AD73),IF(OR($G73=Setup!$B$27,AND(Setup!$C$27&lt;&gt;"",$G73=Setup!$C$27)),1,0))))</f>
        <v>0</v>
      </c>
      <c r="AO73" s="60" t="n">
        <f aca="false">IF(SUM(AE73:AN73)=0,1,SUM(AE73:AN73))</f>
        <v>1</v>
      </c>
      <c r="AP73" s="60" t="n">
        <f aca="false">IF(H73="Paid",1,0)</f>
        <v>0</v>
      </c>
      <c r="AQ73" s="60" t="n">
        <f aca="false">IF(AND(S73&gt;0,SUM(AE73:AN73)=0),S73,0)</f>
        <v>0</v>
      </c>
      <c r="AR73" s="60" t="str">
        <f aca="false">IF(AND(N73&lt;&gt;"",TodayDay&lt;&gt;"",N73=TodayDay),COUNTIF($N$6:N73,TodayDay),"")</f>
        <v/>
      </c>
      <c r="AS73" s="60" t="n">
        <f aca="false">IF(B73="",0,IF(COUNTIFS(Settings!$A$5:$A$29,B73,Settings!$B$5:$B$29,"Yes")&gt;0,1,0))</f>
        <v>0</v>
      </c>
      <c r="AT73" s="61" t="n">
        <f aca="false">IF(OR(N73="",TodayDay=""),IF(N73="",S73,0),IF(N73&lt;TodayDay,S73,0))</f>
        <v>0</v>
      </c>
    </row>
    <row r="74" customFormat="false" ht="15" hidden="false" customHeight="false" outlineLevel="0" collapsed="false">
      <c r="A74" s="23"/>
      <c r="B74" s="23"/>
      <c r="C74" s="23"/>
      <c r="D74" s="56"/>
      <c r="E74" s="23"/>
      <c r="F74" s="23"/>
      <c r="G74" s="23"/>
      <c r="H74" s="23"/>
      <c r="I74" s="56"/>
      <c r="J74" s="23"/>
      <c r="K74" s="28"/>
      <c r="L74" s="23"/>
      <c r="M74" s="23"/>
      <c r="N74" s="25" t="str">
        <f aca="false">IF(A74="","",IF(LEFT(A74,3)="Pre",0,IFERROR(VALUE(MID(A74,5,FIND(" ",A74&amp;" ",5)-5)),"")))</f>
        <v/>
      </c>
      <c r="O74" s="57" t="str">
        <f aca="false">IF(N74="","",IF(N74=0,"Before trip",IF(TripStart="","",TripStart+N74-1)))</f>
        <v/>
      </c>
      <c r="P74" s="58" t="str">
        <f aca="false">IF(AND(D74="",I74=""),"",IF(OR(E74="",E74=HomeCcy),1,IFERROR(INDEX(Setup!$J$26:$J$33,MATCH(E74,Setup!$G$26:$G$33,0)),IFERROR(INDEX(Settings!$S$5:$S$64,MATCH(E74,Settings!$R$5:$R$64,0))/HomeINR,1))))</f>
        <v/>
      </c>
      <c r="Q74" s="34" t="str">
        <f aca="false">IF(D74="","",D74*P74)</f>
        <v/>
      </c>
      <c r="R74" s="34" t="str">
        <f aca="false">IF(I74="","",I74*P74)</f>
        <v/>
      </c>
      <c r="S74" s="33" t="n">
        <f aca="false">IF(H74="Cancelled",0,IF(R74&lt;&gt;"",R74,IF(Q74&lt;&gt;"",Q74,0)))</f>
        <v>0</v>
      </c>
      <c r="T74" s="45" t="str">
        <f aca="false">IF(S74=0,"",IF(SUM(AE74:AN74)=0,"⚠ nobody picked",COUNTIF(AE74:AN74,"&gt;0")&amp;" people"))</f>
        <v/>
      </c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60" t="n">
        <f aca="false">IF(OR($S74=0,Setup!$B$18=""),0,IF(OR($G74="",$G74="Everyone"),1,IF($G74="Custom",N(U74),IF(OR($G74=Setup!$B$18,AND(Setup!$C$18&lt;&gt;"",$G74=Setup!$C$18)),1,0))))</f>
        <v>0</v>
      </c>
      <c r="AF74" s="60" t="n">
        <f aca="false">IF(OR($S74=0,Setup!$B$19=""),0,IF(OR($G74="",$G74="Everyone"),1,IF($G74="Custom",N(V74),IF(OR($G74=Setup!$B$19,AND(Setup!$C$19&lt;&gt;"",$G74=Setup!$C$19)),1,0))))</f>
        <v>0</v>
      </c>
      <c r="AG74" s="60" t="n">
        <f aca="false">IF(OR($S74=0,Setup!$B$20=""),0,IF(OR($G74="",$G74="Everyone"),1,IF($G74="Custom",N(W74),IF(OR($G74=Setup!$B$20,AND(Setup!$C$20&lt;&gt;"",$G74=Setup!$C$20)),1,0))))</f>
        <v>0</v>
      </c>
      <c r="AH74" s="60" t="n">
        <f aca="false">IF(OR($S74=0,Setup!$B$21=""),0,IF(OR($G74="",$G74="Everyone"),1,IF($G74="Custom",N(X74),IF(OR($G74=Setup!$B$21,AND(Setup!$C$21&lt;&gt;"",$G74=Setup!$C$21)),1,0))))</f>
        <v>0</v>
      </c>
      <c r="AI74" s="60" t="n">
        <f aca="false">IF(OR($S74=0,Setup!$B$22=""),0,IF(OR($G74="",$G74="Everyone"),1,IF($G74="Custom",N(Y74),IF(OR($G74=Setup!$B$22,AND(Setup!$C$22&lt;&gt;"",$G74=Setup!$C$22)),1,0))))</f>
        <v>0</v>
      </c>
      <c r="AJ74" s="60" t="n">
        <f aca="false">IF(OR($S74=0,Setup!$B$23=""),0,IF(OR($G74="",$G74="Everyone"),1,IF($G74="Custom",N(Z74),IF(OR($G74=Setup!$B$23,AND(Setup!$C$23&lt;&gt;"",$G74=Setup!$C$23)),1,0))))</f>
        <v>0</v>
      </c>
      <c r="AK74" s="60" t="n">
        <f aca="false">IF(OR($S74=0,Setup!$B$24=""),0,IF(OR($G74="",$G74="Everyone"),1,IF($G74="Custom",N(AA74),IF(OR($G74=Setup!$B$24,AND(Setup!$C$24&lt;&gt;"",$G74=Setup!$C$24)),1,0))))</f>
        <v>0</v>
      </c>
      <c r="AL74" s="60" t="n">
        <f aca="false">IF(OR($S74=0,Setup!$B$25=""),0,IF(OR($G74="",$G74="Everyone"),1,IF($G74="Custom",N(AB74),IF(OR($G74=Setup!$B$25,AND(Setup!$C$25&lt;&gt;"",$G74=Setup!$C$25)),1,0))))</f>
        <v>0</v>
      </c>
      <c r="AM74" s="60" t="n">
        <f aca="false">IF(OR($S74=0,Setup!$B$26=""),0,IF(OR($G74="",$G74="Everyone"),1,IF($G74="Custom",N(AC74),IF(OR($G74=Setup!$B$26,AND(Setup!$C$26&lt;&gt;"",$G74=Setup!$C$26)),1,0))))</f>
        <v>0</v>
      </c>
      <c r="AN74" s="60" t="n">
        <f aca="false">IF(OR($S74=0,Setup!$B$27=""),0,IF(OR($G74="",$G74="Everyone"),1,IF($G74="Custom",N(AD74),IF(OR($G74=Setup!$B$27,AND(Setup!$C$27&lt;&gt;"",$G74=Setup!$C$27)),1,0))))</f>
        <v>0</v>
      </c>
      <c r="AO74" s="60" t="n">
        <f aca="false">IF(SUM(AE74:AN74)=0,1,SUM(AE74:AN74))</f>
        <v>1</v>
      </c>
      <c r="AP74" s="60" t="n">
        <f aca="false">IF(H74="Paid",1,0)</f>
        <v>0</v>
      </c>
      <c r="AQ74" s="60" t="n">
        <f aca="false">IF(AND(S74&gt;0,SUM(AE74:AN74)=0),S74,0)</f>
        <v>0</v>
      </c>
      <c r="AR74" s="60" t="str">
        <f aca="false">IF(AND(N74&lt;&gt;"",TodayDay&lt;&gt;"",N74=TodayDay),COUNTIF($N$6:N74,TodayDay),"")</f>
        <v/>
      </c>
      <c r="AS74" s="60" t="n">
        <f aca="false">IF(B74="",0,IF(COUNTIFS(Settings!$A$5:$A$29,B74,Settings!$B$5:$B$29,"Yes")&gt;0,1,0))</f>
        <v>0</v>
      </c>
      <c r="AT74" s="61" t="n">
        <f aca="false">IF(OR(N74="",TodayDay=""),IF(N74="",S74,0),IF(N74&lt;TodayDay,S74,0))</f>
        <v>0</v>
      </c>
    </row>
    <row r="75" customFormat="false" ht="15" hidden="false" customHeight="false" outlineLevel="0" collapsed="false">
      <c r="A75" s="23"/>
      <c r="B75" s="23"/>
      <c r="C75" s="23"/>
      <c r="D75" s="56"/>
      <c r="E75" s="23"/>
      <c r="F75" s="23"/>
      <c r="G75" s="23"/>
      <c r="H75" s="23"/>
      <c r="I75" s="56"/>
      <c r="J75" s="23"/>
      <c r="K75" s="28"/>
      <c r="L75" s="23"/>
      <c r="M75" s="23"/>
      <c r="N75" s="25" t="str">
        <f aca="false">IF(A75="","",IF(LEFT(A75,3)="Pre",0,IFERROR(VALUE(MID(A75,5,FIND(" ",A75&amp;" ",5)-5)),"")))</f>
        <v/>
      </c>
      <c r="O75" s="57" t="str">
        <f aca="false">IF(N75="","",IF(N75=0,"Before trip",IF(TripStart="","",TripStart+N75-1)))</f>
        <v/>
      </c>
      <c r="P75" s="58" t="str">
        <f aca="false">IF(AND(D75="",I75=""),"",IF(OR(E75="",E75=HomeCcy),1,IFERROR(INDEX(Setup!$J$26:$J$33,MATCH(E75,Setup!$G$26:$G$33,0)),IFERROR(INDEX(Settings!$S$5:$S$64,MATCH(E75,Settings!$R$5:$R$64,0))/HomeINR,1))))</f>
        <v/>
      </c>
      <c r="Q75" s="34" t="str">
        <f aca="false">IF(D75="","",D75*P75)</f>
        <v/>
      </c>
      <c r="R75" s="34" t="str">
        <f aca="false">IF(I75="","",I75*P75)</f>
        <v/>
      </c>
      <c r="S75" s="33" t="n">
        <f aca="false">IF(H75="Cancelled",0,IF(R75&lt;&gt;"",R75,IF(Q75&lt;&gt;"",Q75,0)))</f>
        <v>0</v>
      </c>
      <c r="T75" s="45" t="str">
        <f aca="false">IF(S75=0,"",IF(SUM(AE75:AN75)=0,"⚠ nobody picked",COUNTIF(AE75:AN75,"&gt;0")&amp;" people"))</f>
        <v/>
      </c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60" t="n">
        <f aca="false">IF(OR($S75=0,Setup!$B$18=""),0,IF(OR($G75="",$G75="Everyone"),1,IF($G75="Custom",N(U75),IF(OR($G75=Setup!$B$18,AND(Setup!$C$18&lt;&gt;"",$G75=Setup!$C$18)),1,0))))</f>
        <v>0</v>
      </c>
      <c r="AF75" s="60" t="n">
        <f aca="false">IF(OR($S75=0,Setup!$B$19=""),0,IF(OR($G75="",$G75="Everyone"),1,IF($G75="Custom",N(V75),IF(OR($G75=Setup!$B$19,AND(Setup!$C$19&lt;&gt;"",$G75=Setup!$C$19)),1,0))))</f>
        <v>0</v>
      </c>
      <c r="AG75" s="60" t="n">
        <f aca="false">IF(OR($S75=0,Setup!$B$20=""),0,IF(OR($G75="",$G75="Everyone"),1,IF($G75="Custom",N(W75),IF(OR($G75=Setup!$B$20,AND(Setup!$C$20&lt;&gt;"",$G75=Setup!$C$20)),1,0))))</f>
        <v>0</v>
      </c>
      <c r="AH75" s="60" t="n">
        <f aca="false">IF(OR($S75=0,Setup!$B$21=""),0,IF(OR($G75="",$G75="Everyone"),1,IF($G75="Custom",N(X75),IF(OR($G75=Setup!$B$21,AND(Setup!$C$21&lt;&gt;"",$G75=Setup!$C$21)),1,0))))</f>
        <v>0</v>
      </c>
      <c r="AI75" s="60" t="n">
        <f aca="false">IF(OR($S75=0,Setup!$B$22=""),0,IF(OR($G75="",$G75="Everyone"),1,IF($G75="Custom",N(Y75),IF(OR($G75=Setup!$B$22,AND(Setup!$C$22&lt;&gt;"",$G75=Setup!$C$22)),1,0))))</f>
        <v>0</v>
      </c>
      <c r="AJ75" s="60" t="n">
        <f aca="false">IF(OR($S75=0,Setup!$B$23=""),0,IF(OR($G75="",$G75="Everyone"),1,IF($G75="Custom",N(Z75),IF(OR($G75=Setup!$B$23,AND(Setup!$C$23&lt;&gt;"",$G75=Setup!$C$23)),1,0))))</f>
        <v>0</v>
      </c>
      <c r="AK75" s="60" t="n">
        <f aca="false">IF(OR($S75=0,Setup!$B$24=""),0,IF(OR($G75="",$G75="Everyone"),1,IF($G75="Custom",N(AA75),IF(OR($G75=Setup!$B$24,AND(Setup!$C$24&lt;&gt;"",$G75=Setup!$C$24)),1,0))))</f>
        <v>0</v>
      </c>
      <c r="AL75" s="60" t="n">
        <f aca="false">IF(OR($S75=0,Setup!$B$25=""),0,IF(OR($G75="",$G75="Everyone"),1,IF($G75="Custom",N(AB75),IF(OR($G75=Setup!$B$25,AND(Setup!$C$25&lt;&gt;"",$G75=Setup!$C$25)),1,0))))</f>
        <v>0</v>
      </c>
      <c r="AM75" s="60" t="n">
        <f aca="false">IF(OR($S75=0,Setup!$B$26=""),0,IF(OR($G75="",$G75="Everyone"),1,IF($G75="Custom",N(AC75),IF(OR($G75=Setup!$B$26,AND(Setup!$C$26&lt;&gt;"",$G75=Setup!$C$26)),1,0))))</f>
        <v>0</v>
      </c>
      <c r="AN75" s="60" t="n">
        <f aca="false">IF(OR($S75=0,Setup!$B$27=""),0,IF(OR($G75="",$G75="Everyone"),1,IF($G75="Custom",N(AD75),IF(OR($G75=Setup!$B$27,AND(Setup!$C$27&lt;&gt;"",$G75=Setup!$C$27)),1,0))))</f>
        <v>0</v>
      </c>
      <c r="AO75" s="60" t="n">
        <f aca="false">IF(SUM(AE75:AN75)=0,1,SUM(AE75:AN75))</f>
        <v>1</v>
      </c>
      <c r="AP75" s="60" t="n">
        <f aca="false">IF(H75="Paid",1,0)</f>
        <v>0</v>
      </c>
      <c r="AQ75" s="60" t="n">
        <f aca="false">IF(AND(S75&gt;0,SUM(AE75:AN75)=0),S75,0)</f>
        <v>0</v>
      </c>
      <c r="AR75" s="60" t="str">
        <f aca="false">IF(AND(N75&lt;&gt;"",TodayDay&lt;&gt;"",N75=TodayDay),COUNTIF($N$6:N75,TodayDay),"")</f>
        <v/>
      </c>
      <c r="AS75" s="60" t="n">
        <f aca="false">IF(B75="",0,IF(COUNTIFS(Settings!$A$5:$A$29,B75,Settings!$B$5:$B$29,"Yes")&gt;0,1,0))</f>
        <v>0</v>
      </c>
      <c r="AT75" s="61" t="n">
        <f aca="false">IF(OR(N75="",TodayDay=""),IF(N75="",S75,0),IF(N75&lt;TodayDay,S75,0))</f>
        <v>0</v>
      </c>
    </row>
    <row r="76" customFormat="false" ht="15" hidden="false" customHeight="false" outlineLevel="0" collapsed="false">
      <c r="A76" s="23"/>
      <c r="B76" s="23"/>
      <c r="C76" s="23"/>
      <c r="D76" s="56"/>
      <c r="E76" s="23"/>
      <c r="F76" s="23"/>
      <c r="G76" s="23"/>
      <c r="H76" s="23"/>
      <c r="I76" s="56"/>
      <c r="J76" s="23"/>
      <c r="K76" s="28"/>
      <c r="L76" s="23"/>
      <c r="M76" s="23"/>
      <c r="N76" s="25" t="str">
        <f aca="false">IF(A76="","",IF(LEFT(A76,3)="Pre",0,IFERROR(VALUE(MID(A76,5,FIND(" ",A76&amp;" ",5)-5)),"")))</f>
        <v/>
      </c>
      <c r="O76" s="57" t="str">
        <f aca="false">IF(N76="","",IF(N76=0,"Before trip",IF(TripStart="","",TripStart+N76-1)))</f>
        <v/>
      </c>
      <c r="P76" s="58" t="str">
        <f aca="false">IF(AND(D76="",I76=""),"",IF(OR(E76="",E76=HomeCcy),1,IFERROR(INDEX(Setup!$J$26:$J$33,MATCH(E76,Setup!$G$26:$G$33,0)),IFERROR(INDEX(Settings!$S$5:$S$64,MATCH(E76,Settings!$R$5:$R$64,0))/HomeINR,1))))</f>
        <v/>
      </c>
      <c r="Q76" s="34" t="str">
        <f aca="false">IF(D76="","",D76*P76)</f>
        <v/>
      </c>
      <c r="R76" s="34" t="str">
        <f aca="false">IF(I76="","",I76*P76)</f>
        <v/>
      </c>
      <c r="S76" s="33" t="n">
        <f aca="false">IF(H76="Cancelled",0,IF(R76&lt;&gt;"",R76,IF(Q76&lt;&gt;"",Q76,0)))</f>
        <v>0</v>
      </c>
      <c r="T76" s="45" t="str">
        <f aca="false">IF(S76=0,"",IF(SUM(AE76:AN76)=0,"⚠ nobody picked",COUNTIF(AE76:AN76,"&gt;0")&amp;" people"))</f>
        <v/>
      </c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60" t="n">
        <f aca="false">IF(OR($S76=0,Setup!$B$18=""),0,IF(OR($G76="",$G76="Everyone"),1,IF($G76="Custom",N(U76),IF(OR($G76=Setup!$B$18,AND(Setup!$C$18&lt;&gt;"",$G76=Setup!$C$18)),1,0))))</f>
        <v>0</v>
      </c>
      <c r="AF76" s="60" t="n">
        <f aca="false">IF(OR($S76=0,Setup!$B$19=""),0,IF(OR($G76="",$G76="Everyone"),1,IF($G76="Custom",N(V76),IF(OR($G76=Setup!$B$19,AND(Setup!$C$19&lt;&gt;"",$G76=Setup!$C$19)),1,0))))</f>
        <v>0</v>
      </c>
      <c r="AG76" s="60" t="n">
        <f aca="false">IF(OR($S76=0,Setup!$B$20=""),0,IF(OR($G76="",$G76="Everyone"),1,IF($G76="Custom",N(W76),IF(OR($G76=Setup!$B$20,AND(Setup!$C$20&lt;&gt;"",$G76=Setup!$C$20)),1,0))))</f>
        <v>0</v>
      </c>
      <c r="AH76" s="60" t="n">
        <f aca="false">IF(OR($S76=0,Setup!$B$21=""),0,IF(OR($G76="",$G76="Everyone"),1,IF($G76="Custom",N(X76),IF(OR($G76=Setup!$B$21,AND(Setup!$C$21&lt;&gt;"",$G76=Setup!$C$21)),1,0))))</f>
        <v>0</v>
      </c>
      <c r="AI76" s="60" t="n">
        <f aca="false">IF(OR($S76=0,Setup!$B$22=""),0,IF(OR($G76="",$G76="Everyone"),1,IF($G76="Custom",N(Y76),IF(OR($G76=Setup!$B$22,AND(Setup!$C$22&lt;&gt;"",$G76=Setup!$C$22)),1,0))))</f>
        <v>0</v>
      </c>
      <c r="AJ76" s="60" t="n">
        <f aca="false">IF(OR($S76=0,Setup!$B$23=""),0,IF(OR($G76="",$G76="Everyone"),1,IF($G76="Custom",N(Z76),IF(OR($G76=Setup!$B$23,AND(Setup!$C$23&lt;&gt;"",$G76=Setup!$C$23)),1,0))))</f>
        <v>0</v>
      </c>
      <c r="AK76" s="60" t="n">
        <f aca="false">IF(OR($S76=0,Setup!$B$24=""),0,IF(OR($G76="",$G76="Everyone"),1,IF($G76="Custom",N(AA76),IF(OR($G76=Setup!$B$24,AND(Setup!$C$24&lt;&gt;"",$G76=Setup!$C$24)),1,0))))</f>
        <v>0</v>
      </c>
      <c r="AL76" s="60" t="n">
        <f aca="false">IF(OR($S76=0,Setup!$B$25=""),0,IF(OR($G76="",$G76="Everyone"),1,IF($G76="Custom",N(AB76),IF(OR($G76=Setup!$B$25,AND(Setup!$C$25&lt;&gt;"",$G76=Setup!$C$25)),1,0))))</f>
        <v>0</v>
      </c>
      <c r="AM76" s="60" t="n">
        <f aca="false">IF(OR($S76=0,Setup!$B$26=""),0,IF(OR($G76="",$G76="Everyone"),1,IF($G76="Custom",N(AC76),IF(OR($G76=Setup!$B$26,AND(Setup!$C$26&lt;&gt;"",$G76=Setup!$C$26)),1,0))))</f>
        <v>0</v>
      </c>
      <c r="AN76" s="60" t="n">
        <f aca="false">IF(OR($S76=0,Setup!$B$27=""),0,IF(OR($G76="",$G76="Everyone"),1,IF($G76="Custom",N(AD76),IF(OR($G76=Setup!$B$27,AND(Setup!$C$27&lt;&gt;"",$G76=Setup!$C$27)),1,0))))</f>
        <v>0</v>
      </c>
      <c r="AO76" s="60" t="n">
        <f aca="false">IF(SUM(AE76:AN76)=0,1,SUM(AE76:AN76))</f>
        <v>1</v>
      </c>
      <c r="AP76" s="60" t="n">
        <f aca="false">IF(H76="Paid",1,0)</f>
        <v>0</v>
      </c>
      <c r="AQ76" s="60" t="n">
        <f aca="false">IF(AND(S76&gt;0,SUM(AE76:AN76)=0),S76,0)</f>
        <v>0</v>
      </c>
      <c r="AR76" s="60" t="str">
        <f aca="false">IF(AND(N76&lt;&gt;"",TodayDay&lt;&gt;"",N76=TodayDay),COUNTIF($N$6:N76,TodayDay),"")</f>
        <v/>
      </c>
      <c r="AS76" s="60" t="n">
        <f aca="false">IF(B76="",0,IF(COUNTIFS(Settings!$A$5:$A$29,B76,Settings!$B$5:$B$29,"Yes")&gt;0,1,0))</f>
        <v>0</v>
      </c>
      <c r="AT76" s="61" t="n">
        <f aca="false">IF(OR(N76="",TodayDay=""),IF(N76="",S76,0),IF(N76&lt;TodayDay,S76,0))</f>
        <v>0</v>
      </c>
    </row>
    <row r="77" customFormat="false" ht="15" hidden="false" customHeight="false" outlineLevel="0" collapsed="false">
      <c r="A77" s="23"/>
      <c r="B77" s="23"/>
      <c r="C77" s="23"/>
      <c r="D77" s="56"/>
      <c r="E77" s="23"/>
      <c r="F77" s="23"/>
      <c r="G77" s="23"/>
      <c r="H77" s="23"/>
      <c r="I77" s="56"/>
      <c r="J77" s="23"/>
      <c r="K77" s="28"/>
      <c r="L77" s="23"/>
      <c r="M77" s="23"/>
      <c r="N77" s="25" t="str">
        <f aca="false">IF(A77="","",IF(LEFT(A77,3)="Pre",0,IFERROR(VALUE(MID(A77,5,FIND(" ",A77&amp;" ",5)-5)),"")))</f>
        <v/>
      </c>
      <c r="O77" s="57" t="str">
        <f aca="false">IF(N77="","",IF(N77=0,"Before trip",IF(TripStart="","",TripStart+N77-1)))</f>
        <v/>
      </c>
      <c r="P77" s="58" t="str">
        <f aca="false">IF(AND(D77="",I77=""),"",IF(OR(E77="",E77=HomeCcy),1,IFERROR(INDEX(Setup!$J$26:$J$33,MATCH(E77,Setup!$G$26:$G$33,0)),IFERROR(INDEX(Settings!$S$5:$S$64,MATCH(E77,Settings!$R$5:$R$64,0))/HomeINR,1))))</f>
        <v/>
      </c>
      <c r="Q77" s="34" t="str">
        <f aca="false">IF(D77="","",D77*P77)</f>
        <v/>
      </c>
      <c r="R77" s="34" t="str">
        <f aca="false">IF(I77="","",I77*P77)</f>
        <v/>
      </c>
      <c r="S77" s="33" t="n">
        <f aca="false">IF(H77="Cancelled",0,IF(R77&lt;&gt;"",R77,IF(Q77&lt;&gt;"",Q77,0)))</f>
        <v>0</v>
      </c>
      <c r="T77" s="45" t="str">
        <f aca="false">IF(S77=0,"",IF(SUM(AE77:AN77)=0,"⚠ nobody picked",COUNTIF(AE77:AN77,"&gt;0")&amp;" people"))</f>
        <v/>
      </c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60" t="n">
        <f aca="false">IF(OR($S77=0,Setup!$B$18=""),0,IF(OR($G77="",$G77="Everyone"),1,IF($G77="Custom",N(U77),IF(OR($G77=Setup!$B$18,AND(Setup!$C$18&lt;&gt;"",$G77=Setup!$C$18)),1,0))))</f>
        <v>0</v>
      </c>
      <c r="AF77" s="60" t="n">
        <f aca="false">IF(OR($S77=0,Setup!$B$19=""),0,IF(OR($G77="",$G77="Everyone"),1,IF($G77="Custom",N(V77),IF(OR($G77=Setup!$B$19,AND(Setup!$C$19&lt;&gt;"",$G77=Setup!$C$19)),1,0))))</f>
        <v>0</v>
      </c>
      <c r="AG77" s="60" t="n">
        <f aca="false">IF(OR($S77=0,Setup!$B$20=""),0,IF(OR($G77="",$G77="Everyone"),1,IF($G77="Custom",N(W77),IF(OR($G77=Setup!$B$20,AND(Setup!$C$20&lt;&gt;"",$G77=Setup!$C$20)),1,0))))</f>
        <v>0</v>
      </c>
      <c r="AH77" s="60" t="n">
        <f aca="false">IF(OR($S77=0,Setup!$B$21=""),0,IF(OR($G77="",$G77="Everyone"),1,IF($G77="Custom",N(X77),IF(OR($G77=Setup!$B$21,AND(Setup!$C$21&lt;&gt;"",$G77=Setup!$C$21)),1,0))))</f>
        <v>0</v>
      </c>
      <c r="AI77" s="60" t="n">
        <f aca="false">IF(OR($S77=0,Setup!$B$22=""),0,IF(OR($G77="",$G77="Everyone"),1,IF($G77="Custom",N(Y77),IF(OR($G77=Setup!$B$22,AND(Setup!$C$22&lt;&gt;"",$G77=Setup!$C$22)),1,0))))</f>
        <v>0</v>
      </c>
      <c r="AJ77" s="60" t="n">
        <f aca="false">IF(OR($S77=0,Setup!$B$23=""),0,IF(OR($G77="",$G77="Everyone"),1,IF($G77="Custom",N(Z77),IF(OR($G77=Setup!$B$23,AND(Setup!$C$23&lt;&gt;"",$G77=Setup!$C$23)),1,0))))</f>
        <v>0</v>
      </c>
      <c r="AK77" s="60" t="n">
        <f aca="false">IF(OR($S77=0,Setup!$B$24=""),0,IF(OR($G77="",$G77="Everyone"),1,IF($G77="Custom",N(AA77),IF(OR($G77=Setup!$B$24,AND(Setup!$C$24&lt;&gt;"",$G77=Setup!$C$24)),1,0))))</f>
        <v>0</v>
      </c>
      <c r="AL77" s="60" t="n">
        <f aca="false">IF(OR($S77=0,Setup!$B$25=""),0,IF(OR($G77="",$G77="Everyone"),1,IF($G77="Custom",N(AB77),IF(OR($G77=Setup!$B$25,AND(Setup!$C$25&lt;&gt;"",$G77=Setup!$C$25)),1,0))))</f>
        <v>0</v>
      </c>
      <c r="AM77" s="60" t="n">
        <f aca="false">IF(OR($S77=0,Setup!$B$26=""),0,IF(OR($G77="",$G77="Everyone"),1,IF($G77="Custom",N(AC77),IF(OR($G77=Setup!$B$26,AND(Setup!$C$26&lt;&gt;"",$G77=Setup!$C$26)),1,0))))</f>
        <v>0</v>
      </c>
      <c r="AN77" s="60" t="n">
        <f aca="false">IF(OR($S77=0,Setup!$B$27=""),0,IF(OR($G77="",$G77="Everyone"),1,IF($G77="Custom",N(AD77),IF(OR($G77=Setup!$B$27,AND(Setup!$C$27&lt;&gt;"",$G77=Setup!$C$27)),1,0))))</f>
        <v>0</v>
      </c>
      <c r="AO77" s="60" t="n">
        <f aca="false">IF(SUM(AE77:AN77)=0,1,SUM(AE77:AN77))</f>
        <v>1</v>
      </c>
      <c r="AP77" s="60" t="n">
        <f aca="false">IF(H77="Paid",1,0)</f>
        <v>0</v>
      </c>
      <c r="AQ77" s="60" t="n">
        <f aca="false">IF(AND(S77&gt;0,SUM(AE77:AN77)=0),S77,0)</f>
        <v>0</v>
      </c>
      <c r="AR77" s="60" t="str">
        <f aca="false">IF(AND(N77&lt;&gt;"",TodayDay&lt;&gt;"",N77=TodayDay),COUNTIF($N$6:N77,TodayDay),"")</f>
        <v/>
      </c>
      <c r="AS77" s="60" t="n">
        <f aca="false">IF(B77="",0,IF(COUNTIFS(Settings!$A$5:$A$29,B77,Settings!$B$5:$B$29,"Yes")&gt;0,1,0))</f>
        <v>0</v>
      </c>
      <c r="AT77" s="61" t="n">
        <f aca="false">IF(OR(N77="",TodayDay=""),IF(N77="",S77,0),IF(N77&lt;TodayDay,S77,0))</f>
        <v>0</v>
      </c>
    </row>
    <row r="78" customFormat="false" ht="15" hidden="false" customHeight="false" outlineLevel="0" collapsed="false">
      <c r="A78" s="23"/>
      <c r="B78" s="23"/>
      <c r="C78" s="23"/>
      <c r="D78" s="56"/>
      <c r="E78" s="23"/>
      <c r="F78" s="23"/>
      <c r="G78" s="23"/>
      <c r="H78" s="23"/>
      <c r="I78" s="56"/>
      <c r="J78" s="23"/>
      <c r="K78" s="28"/>
      <c r="L78" s="23"/>
      <c r="M78" s="23"/>
      <c r="N78" s="25" t="str">
        <f aca="false">IF(A78="","",IF(LEFT(A78,3)="Pre",0,IFERROR(VALUE(MID(A78,5,FIND(" ",A78&amp;" ",5)-5)),"")))</f>
        <v/>
      </c>
      <c r="O78" s="57" t="str">
        <f aca="false">IF(N78="","",IF(N78=0,"Before trip",IF(TripStart="","",TripStart+N78-1)))</f>
        <v/>
      </c>
      <c r="P78" s="58" t="str">
        <f aca="false">IF(AND(D78="",I78=""),"",IF(OR(E78="",E78=HomeCcy),1,IFERROR(INDEX(Setup!$J$26:$J$33,MATCH(E78,Setup!$G$26:$G$33,0)),IFERROR(INDEX(Settings!$S$5:$S$64,MATCH(E78,Settings!$R$5:$R$64,0))/HomeINR,1))))</f>
        <v/>
      </c>
      <c r="Q78" s="34" t="str">
        <f aca="false">IF(D78="","",D78*P78)</f>
        <v/>
      </c>
      <c r="R78" s="34" t="str">
        <f aca="false">IF(I78="","",I78*P78)</f>
        <v/>
      </c>
      <c r="S78" s="33" t="n">
        <f aca="false">IF(H78="Cancelled",0,IF(R78&lt;&gt;"",R78,IF(Q78&lt;&gt;"",Q78,0)))</f>
        <v>0</v>
      </c>
      <c r="T78" s="45" t="str">
        <f aca="false">IF(S78=0,"",IF(SUM(AE78:AN78)=0,"⚠ nobody picked",COUNTIF(AE78:AN78,"&gt;0")&amp;" people"))</f>
        <v/>
      </c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60" t="n">
        <f aca="false">IF(OR($S78=0,Setup!$B$18=""),0,IF(OR($G78="",$G78="Everyone"),1,IF($G78="Custom",N(U78),IF(OR($G78=Setup!$B$18,AND(Setup!$C$18&lt;&gt;"",$G78=Setup!$C$18)),1,0))))</f>
        <v>0</v>
      </c>
      <c r="AF78" s="60" t="n">
        <f aca="false">IF(OR($S78=0,Setup!$B$19=""),0,IF(OR($G78="",$G78="Everyone"),1,IF($G78="Custom",N(V78),IF(OR($G78=Setup!$B$19,AND(Setup!$C$19&lt;&gt;"",$G78=Setup!$C$19)),1,0))))</f>
        <v>0</v>
      </c>
      <c r="AG78" s="60" t="n">
        <f aca="false">IF(OR($S78=0,Setup!$B$20=""),0,IF(OR($G78="",$G78="Everyone"),1,IF($G78="Custom",N(W78),IF(OR($G78=Setup!$B$20,AND(Setup!$C$20&lt;&gt;"",$G78=Setup!$C$20)),1,0))))</f>
        <v>0</v>
      </c>
      <c r="AH78" s="60" t="n">
        <f aca="false">IF(OR($S78=0,Setup!$B$21=""),0,IF(OR($G78="",$G78="Everyone"),1,IF($G78="Custom",N(X78),IF(OR($G78=Setup!$B$21,AND(Setup!$C$21&lt;&gt;"",$G78=Setup!$C$21)),1,0))))</f>
        <v>0</v>
      </c>
      <c r="AI78" s="60" t="n">
        <f aca="false">IF(OR($S78=0,Setup!$B$22=""),0,IF(OR($G78="",$G78="Everyone"),1,IF($G78="Custom",N(Y78),IF(OR($G78=Setup!$B$22,AND(Setup!$C$22&lt;&gt;"",$G78=Setup!$C$22)),1,0))))</f>
        <v>0</v>
      </c>
      <c r="AJ78" s="60" t="n">
        <f aca="false">IF(OR($S78=0,Setup!$B$23=""),0,IF(OR($G78="",$G78="Everyone"),1,IF($G78="Custom",N(Z78),IF(OR($G78=Setup!$B$23,AND(Setup!$C$23&lt;&gt;"",$G78=Setup!$C$23)),1,0))))</f>
        <v>0</v>
      </c>
      <c r="AK78" s="60" t="n">
        <f aca="false">IF(OR($S78=0,Setup!$B$24=""),0,IF(OR($G78="",$G78="Everyone"),1,IF($G78="Custom",N(AA78),IF(OR($G78=Setup!$B$24,AND(Setup!$C$24&lt;&gt;"",$G78=Setup!$C$24)),1,0))))</f>
        <v>0</v>
      </c>
      <c r="AL78" s="60" t="n">
        <f aca="false">IF(OR($S78=0,Setup!$B$25=""),0,IF(OR($G78="",$G78="Everyone"),1,IF($G78="Custom",N(AB78),IF(OR($G78=Setup!$B$25,AND(Setup!$C$25&lt;&gt;"",$G78=Setup!$C$25)),1,0))))</f>
        <v>0</v>
      </c>
      <c r="AM78" s="60" t="n">
        <f aca="false">IF(OR($S78=0,Setup!$B$26=""),0,IF(OR($G78="",$G78="Everyone"),1,IF($G78="Custom",N(AC78),IF(OR($G78=Setup!$B$26,AND(Setup!$C$26&lt;&gt;"",$G78=Setup!$C$26)),1,0))))</f>
        <v>0</v>
      </c>
      <c r="AN78" s="60" t="n">
        <f aca="false">IF(OR($S78=0,Setup!$B$27=""),0,IF(OR($G78="",$G78="Everyone"),1,IF($G78="Custom",N(AD78),IF(OR($G78=Setup!$B$27,AND(Setup!$C$27&lt;&gt;"",$G78=Setup!$C$27)),1,0))))</f>
        <v>0</v>
      </c>
      <c r="AO78" s="60" t="n">
        <f aca="false">IF(SUM(AE78:AN78)=0,1,SUM(AE78:AN78))</f>
        <v>1</v>
      </c>
      <c r="AP78" s="60" t="n">
        <f aca="false">IF(H78="Paid",1,0)</f>
        <v>0</v>
      </c>
      <c r="AQ78" s="60" t="n">
        <f aca="false">IF(AND(S78&gt;0,SUM(AE78:AN78)=0),S78,0)</f>
        <v>0</v>
      </c>
      <c r="AR78" s="60" t="str">
        <f aca="false">IF(AND(N78&lt;&gt;"",TodayDay&lt;&gt;"",N78=TodayDay),COUNTIF($N$6:N78,TodayDay),"")</f>
        <v/>
      </c>
      <c r="AS78" s="60" t="n">
        <f aca="false">IF(B78="",0,IF(COUNTIFS(Settings!$A$5:$A$29,B78,Settings!$B$5:$B$29,"Yes")&gt;0,1,0))</f>
        <v>0</v>
      </c>
      <c r="AT78" s="61" t="n">
        <f aca="false">IF(OR(N78="",TodayDay=""),IF(N78="",S78,0),IF(N78&lt;TodayDay,S78,0))</f>
        <v>0</v>
      </c>
    </row>
    <row r="79" customFormat="false" ht="15" hidden="false" customHeight="false" outlineLevel="0" collapsed="false">
      <c r="A79" s="23"/>
      <c r="B79" s="23"/>
      <c r="C79" s="23"/>
      <c r="D79" s="56"/>
      <c r="E79" s="23"/>
      <c r="F79" s="23"/>
      <c r="G79" s="23"/>
      <c r="H79" s="23"/>
      <c r="I79" s="56"/>
      <c r="J79" s="23"/>
      <c r="K79" s="28"/>
      <c r="L79" s="23"/>
      <c r="M79" s="23"/>
      <c r="N79" s="25" t="str">
        <f aca="false">IF(A79="","",IF(LEFT(A79,3)="Pre",0,IFERROR(VALUE(MID(A79,5,FIND(" ",A79&amp;" ",5)-5)),"")))</f>
        <v/>
      </c>
      <c r="O79" s="57" t="str">
        <f aca="false">IF(N79="","",IF(N79=0,"Before trip",IF(TripStart="","",TripStart+N79-1)))</f>
        <v/>
      </c>
      <c r="P79" s="58" t="str">
        <f aca="false">IF(AND(D79="",I79=""),"",IF(OR(E79="",E79=HomeCcy),1,IFERROR(INDEX(Setup!$J$26:$J$33,MATCH(E79,Setup!$G$26:$G$33,0)),IFERROR(INDEX(Settings!$S$5:$S$64,MATCH(E79,Settings!$R$5:$R$64,0))/HomeINR,1))))</f>
        <v/>
      </c>
      <c r="Q79" s="34" t="str">
        <f aca="false">IF(D79="","",D79*P79)</f>
        <v/>
      </c>
      <c r="R79" s="34" t="str">
        <f aca="false">IF(I79="","",I79*P79)</f>
        <v/>
      </c>
      <c r="S79" s="33" t="n">
        <f aca="false">IF(H79="Cancelled",0,IF(R79&lt;&gt;"",R79,IF(Q79&lt;&gt;"",Q79,0)))</f>
        <v>0</v>
      </c>
      <c r="T79" s="45" t="str">
        <f aca="false">IF(S79=0,"",IF(SUM(AE79:AN79)=0,"⚠ nobody picked",COUNTIF(AE79:AN79,"&gt;0")&amp;" people"))</f>
        <v/>
      </c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60" t="n">
        <f aca="false">IF(OR($S79=0,Setup!$B$18=""),0,IF(OR($G79="",$G79="Everyone"),1,IF($G79="Custom",N(U79),IF(OR($G79=Setup!$B$18,AND(Setup!$C$18&lt;&gt;"",$G79=Setup!$C$18)),1,0))))</f>
        <v>0</v>
      </c>
      <c r="AF79" s="60" t="n">
        <f aca="false">IF(OR($S79=0,Setup!$B$19=""),0,IF(OR($G79="",$G79="Everyone"),1,IF($G79="Custom",N(V79),IF(OR($G79=Setup!$B$19,AND(Setup!$C$19&lt;&gt;"",$G79=Setup!$C$19)),1,0))))</f>
        <v>0</v>
      </c>
      <c r="AG79" s="60" t="n">
        <f aca="false">IF(OR($S79=0,Setup!$B$20=""),0,IF(OR($G79="",$G79="Everyone"),1,IF($G79="Custom",N(W79),IF(OR($G79=Setup!$B$20,AND(Setup!$C$20&lt;&gt;"",$G79=Setup!$C$20)),1,0))))</f>
        <v>0</v>
      </c>
      <c r="AH79" s="60" t="n">
        <f aca="false">IF(OR($S79=0,Setup!$B$21=""),0,IF(OR($G79="",$G79="Everyone"),1,IF($G79="Custom",N(X79),IF(OR($G79=Setup!$B$21,AND(Setup!$C$21&lt;&gt;"",$G79=Setup!$C$21)),1,0))))</f>
        <v>0</v>
      </c>
      <c r="AI79" s="60" t="n">
        <f aca="false">IF(OR($S79=0,Setup!$B$22=""),0,IF(OR($G79="",$G79="Everyone"),1,IF($G79="Custom",N(Y79),IF(OR($G79=Setup!$B$22,AND(Setup!$C$22&lt;&gt;"",$G79=Setup!$C$22)),1,0))))</f>
        <v>0</v>
      </c>
      <c r="AJ79" s="60" t="n">
        <f aca="false">IF(OR($S79=0,Setup!$B$23=""),0,IF(OR($G79="",$G79="Everyone"),1,IF($G79="Custom",N(Z79),IF(OR($G79=Setup!$B$23,AND(Setup!$C$23&lt;&gt;"",$G79=Setup!$C$23)),1,0))))</f>
        <v>0</v>
      </c>
      <c r="AK79" s="60" t="n">
        <f aca="false">IF(OR($S79=0,Setup!$B$24=""),0,IF(OR($G79="",$G79="Everyone"),1,IF($G79="Custom",N(AA79),IF(OR($G79=Setup!$B$24,AND(Setup!$C$24&lt;&gt;"",$G79=Setup!$C$24)),1,0))))</f>
        <v>0</v>
      </c>
      <c r="AL79" s="60" t="n">
        <f aca="false">IF(OR($S79=0,Setup!$B$25=""),0,IF(OR($G79="",$G79="Everyone"),1,IF($G79="Custom",N(AB79),IF(OR($G79=Setup!$B$25,AND(Setup!$C$25&lt;&gt;"",$G79=Setup!$C$25)),1,0))))</f>
        <v>0</v>
      </c>
      <c r="AM79" s="60" t="n">
        <f aca="false">IF(OR($S79=0,Setup!$B$26=""),0,IF(OR($G79="",$G79="Everyone"),1,IF($G79="Custom",N(AC79),IF(OR($G79=Setup!$B$26,AND(Setup!$C$26&lt;&gt;"",$G79=Setup!$C$26)),1,0))))</f>
        <v>0</v>
      </c>
      <c r="AN79" s="60" t="n">
        <f aca="false">IF(OR($S79=0,Setup!$B$27=""),0,IF(OR($G79="",$G79="Everyone"),1,IF($G79="Custom",N(AD79),IF(OR($G79=Setup!$B$27,AND(Setup!$C$27&lt;&gt;"",$G79=Setup!$C$27)),1,0))))</f>
        <v>0</v>
      </c>
      <c r="AO79" s="60" t="n">
        <f aca="false">IF(SUM(AE79:AN79)=0,1,SUM(AE79:AN79))</f>
        <v>1</v>
      </c>
      <c r="AP79" s="60" t="n">
        <f aca="false">IF(H79="Paid",1,0)</f>
        <v>0</v>
      </c>
      <c r="AQ79" s="60" t="n">
        <f aca="false">IF(AND(S79&gt;0,SUM(AE79:AN79)=0),S79,0)</f>
        <v>0</v>
      </c>
      <c r="AR79" s="60" t="str">
        <f aca="false">IF(AND(N79&lt;&gt;"",TodayDay&lt;&gt;"",N79=TodayDay),COUNTIF($N$6:N79,TodayDay),"")</f>
        <v/>
      </c>
      <c r="AS79" s="60" t="n">
        <f aca="false">IF(B79="",0,IF(COUNTIFS(Settings!$A$5:$A$29,B79,Settings!$B$5:$B$29,"Yes")&gt;0,1,0))</f>
        <v>0</v>
      </c>
      <c r="AT79" s="61" t="n">
        <f aca="false">IF(OR(N79="",TodayDay=""),IF(N79="",S79,0),IF(N79&lt;TodayDay,S79,0))</f>
        <v>0</v>
      </c>
    </row>
    <row r="80" customFormat="false" ht="15" hidden="false" customHeight="false" outlineLevel="0" collapsed="false">
      <c r="A80" s="23"/>
      <c r="B80" s="23"/>
      <c r="C80" s="23"/>
      <c r="D80" s="56"/>
      <c r="E80" s="23"/>
      <c r="F80" s="23"/>
      <c r="G80" s="23"/>
      <c r="H80" s="23"/>
      <c r="I80" s="56"/>
      <c r="J80" s="23"/>
      <c r="K80" s="28"/>
      <c r="L80" s="23"/>
      <c r="M80" s="23"/>
      <c r="N80" s="25" t="str">
        <f aca="false">IF(A80="","",IF(LEFT(A80,3)="Pre",0,IFERROR(VALUE(MID(A80,5,FIND(" ",A80&amp;" ",5)-5)),"")))</f>
        <v/>
      </c>
      <c r="O80" s="57" t="str">
        <f aca="false">IF(N80="","",IF(N80=0,"Before trip",IF(TripStart="","",TripStart+N80-1)))</f>
        <v/>
      </c>
      <c r="P80" s="58" t="str">
        <f aca="false">IF(AND(D80="",I80=""),"",IF(OR(E80="",E80=HomeCcy),1,IFERROR(INDEX(Setup!$J$26:$J$33,MATCH(E80,Setup!$G$26:$G$33,0)),IFERROR(INDEX(Settings!$S$5:$S$64,MATCH(E80,Settings!$R$5:$R$64,0))/HomeINR,1))))</f>
        <v/>
      </c>
      <c r="Q80" s="34" t="str">
        <f aca="false">IF(D80="","",D80*P80)</f>
        <v/>
      </c>
      <c r="R80" s="34" t="str">
        <f aca="false">IF(I80="","",I80*P80)</f>
        <v/>
      </c>
      <c r="S80" s="33" t="n">
        <f aca="false">IF(H80="Cancelled",0,IF(R80&lt;&gt;"",R80,IF(Q80&lt;&gt;"",Q80,0)))</f>
        <v>0</v>
      </c>
      <c r="T80" s="45" t="str">
        <f aca="false">IF(S80=0,"",IF(SUM(AE80:AN80)=0,"⚠ nobody picked",COUNTIF(AE80:AN80,"&gt;0")&amp;" people"))</f>
        <v/>
      </c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60" t="n">
        <f aca="false">IF(OR($S80=0,Setup!$B$18=""),0,IF(OR($G80="",$G80="Everyone"),1,IF($G80="Custom",N(U80),IF(OR($G80=Setup!$B$18,AND(Setup!$C$18&lt;&gt;"",$G80=Setup!$C$18)),1,0))))</f>
        <v>0</v>
      </c>
      <c r="AF80" s="60" t="n">
        <f aca="false">IF(OR($S80=0,Setup!$B$19=""),0,IF(OR($G80="",$G80="Everyone"),1,IF($G80="Custom",N(V80),IF(OR($G80=Setup!$B$19,AND(Setup!$C$19&lt;&gt;"",$G80=Setup!$C$19)),1,0))))</f>
        <v>0</v>
      </c>
      <c r="AG80" s="60" t="n">
        <f aca="false">IF(OR($S80=0,Setup!$B$20=""),0,IF(OR($G80="",$G80="Everyone"),1,IF($G80="Custom",N(W80),IF(OR($G80=Setup!$B$20,AND(Setup!$C$20&lt;&gt;"",$G80=Setup!$C$20)),1,0))))</f>
        <v>0</v>
      </c>
      <c r="AH80" s="60" t="n">
        <f aca="false">IF(OR($S80=0,Setup!$B$21=""),0,IF(OR($G80="",$G80="Everyone"),1,IF($G80="Custom",N(X80),IF(OR($G80=Setup!$B$21,AND(Setup!$C$21&lt;&gt;"",$G80=Setup!$C$21)),1,0))))</f>
        <v>0</v>
      </c>
      <c r="AI80" s="60" t="n">
        <f aca="false">IF(OR($S80=0,Setup!$B$22=""),0,IF(OR($G80="",$G80="Everyone"),1,IF($G80="Custom",N(Y80),IF(OR($G80=Setup!$B$22,AND(Setup!$C$22&lt;&gt;"",$G80=Setup!$C$22)),1,0))))</f>
        <v>0</v>
      </c>
      <c r="AJ80" s="60" t="n">
        <f aca="false">IF(OR($S80=0,Setup!$B$23=""),0,IF(OR($G80="",$G80="Everyone"),1,IF($G80="Custom",N(Z80),IF(OR($G80=Setup!$B$23,AND(Setup!$C$23&lt;&gt;"",$G80=Setup!$C$23)),1,0))))</f>
        <v>0</v>
      </c>
      <c r="AK80" s="60" t="n">
        <f aca="false">IF(OR($S80=0,Setup!$B$24=""),0,IF(OR($G80="",$G80="Everyone"),1,IF($G80="Custom",N(AA80),IF(OR($G80=Setup!$B$24,AND(Setup!$C$24&lt;&gt;"",$G80=Setup!$C$24)),1,0))))</f>
        <v>0</v>
      </c>
      <c r="AL80" s="60" t="n">
        <f aca="false">IF(OR($S80=0,Setup!$B$25=""),0,IF(OR($G80="",$G80="Everyone"),1,IF($G80="Custom",N(AB80),IF(OR($G80=Setup!$B$25,AND(Setup!$C$25&lt;&gt;"",$G80=Setup!$C$25)),1,0))))</f>
        <v>0</v>
      </c>
      <c r="AM80" s="60" t="n">
        <f aca="false">IF(OR($S80=0,Setup!$B$26=""),0,IF(OR($G80="",$G80="Everyone"),1,IF($G80="Custom",N(AC80),IF(OR($G80=Setup!$B$26,AND(Setup!$C$26&lt;&gt;"",$G80=Setup!$C$26)),1,0))))</f>
        <v>0</v>
      </c>
      <c r="AN80" s="60" t="n">
        <f aca="false">IF(OR($S80=0,Setup!$B$27=""),0,IF(OR($G80="",$G80="Everyone"),1,IF($G80="Custom",N(AD80),IF(OR($G80=Setup!$B$27,AND(Setup!$C$27&lt;&gt;"",$G80=Setup!$C$27)),1,0))))</f>
        <v>0</v>
      </c>
      <c r="AO80" s="60" t="n">
        <f aca="false">IF(SUM(AE80:AN80)=0,1,SUM(AE80:AN80))</f>
        <v>1</v>
      </c>
      <c r="AP80" s="60" t="n">
        <f aca="false">IF(H80="Paid",1,0)</f>
        <v>0</v>
      </c>
      <c r="AQ80" s="60" t="n">
        <f aca="false">IF(AND(S80&gt;0,SUM(AE80:AN80)=0),S80,0)</f>
        <v>0</v>
      </c>
      <c r="AR80" s="60" t="str">
        <f aca="false">IF(AND(N80&lt;&gt;"",TodayDay&lt;&gt;"",N80=TodayDay),COUNTIF($N$6:N80,TodayDay),"")</f>
        <v/>
      </c>
      <c r="AS80" s="60" t="n">
        <f aca="false">IF(B80="",0,IF(COUNTIFS(Settings!$A$5:$A$29,B80,Settings!$B$5:$B$29,"Yes")&gt;0,1,0))</f>
        <v>0</v>
      </c>
      <c r="AT80" s="61" t="n">
        <f aca="false">IF(OR(N80="",TodayDay=""),IF(N80="",S80,0),IF(N80&lt;TodayDay,S80,0))</f>
        <v>0</v>
      </c>
    </row>
    <row r="81" customFormat="false" ht="15" hidden="false" customHeight="false" outlineLevel="0" collapsed="false">
      <c r="A81" s="23"/>
      <c r="B81" s="23"/>
      <c r="C81" s="23"/>
      <c r="D81" s="56"/>
      <c r="E81" s="23"/>
      <c r="F81" s="23"/>
      <c r="G81" s="23"/>
      <c r="H81" s="23"/>
      <c r="I81" s="56"/>
      <c r="J81" s="23"/>
      <c r="K81" s="28"/>
      <c r="L81" s="23"/>
      <c r="M81" s="23"/>
      <c r="N81" s="25" t="str">
        <f aca="false">IF(A81="","",IF(LEFT(A81,3)="Pre",0,IFERROR(VALUE(MID(A81,5,FIND(" ",A81&amp;" ",5)-5)),"")))</f>
        <v/>
      </c>
      <c r="O81" s="57" t="str">
        <f aca="false">IF(N81="","",IF(N81=0,"Before trip",IF(TripStart="","",TripStart+N81-1)))</f>
        <v/>
      </c>
      <c r="P81" s="58" t="str">
        <f aca="false">IF(AND(D81="",I81=""),"",IF(OR(E81="",E81=HomeCcy),1,IFERROR(INDEX(Setup!$J$26:$J$33,MATCH(E81,Setup!$G$26:$G$33,0)),IFERROR(INDEX(Settings!$S$5:$S$64,MATCH(E81,Settings!$R$5:$R$64,0))/HomeINR,1))))</f>
        <v/>
      </c>
      <c r="Q81" s="34" t="str">
        <f aca="false">IF(D81="","",D81*P81)</f>
        <v/>
      </c>
      <c r="R81" s="34" t="str">
        <f aca="false">IF(I81="","",I81*P81)</f>
        <v/>
      </c>
      <c r="S81" s="33" t="n">
        <f aca="false">IF(H81="Cancelled",0,IF(R81&lt;&gt;"",R81,IF(Q81&lt;&gt;"",Q81,0)))</f>
        <v>0</v>
      </c>
      <c r="T81" s="45" t="str">
        <f aca="false">IF(S81=0,"",IF(SUM(AE81:AN81)=0,"⚠ nobody picked",COUNTIF(AE81:AN81,"&gt;0")&amp;" people"))</f>
        <v/>
      </c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60" t="n">
        <f aca="false">IF(OR($S81=0,Setup!$B$18=""),0,IF(OR($G81="",$G81="Everyone"),1,IF($G81="Custom",N(U81),IF(OR($G81=Setup!$B$18,AND(Setup!$C$18&lt;&gt;"",$G81=Setup!$C$18)),1,0))))</f>
        <v>0</v>
      </c>
      <c r="AF81" s="60" t="n">
        <f aca="false">IF(OR($S81=0,Setup!$B$19=""),0,IF(OR($G81="",$G81="Everyone"),1,IF($G81="Custom",N(V81),IF(OR($G81=Setup!$B$19,AND(Setup!$C$19&lt;&gt;"",$G81=Setup!$C$19)),1,0))))</f>
        <v>0</v>
      </c>
      <c r="AG81" s="60" t="n">
        <f aca="false">IF(OR($S81=0,Setup!$B$20=""),0,IF(OR($G81="",$G81="Everyone"),1,IF($G81="Custom",N(W81),IF(OR($G81=Setup!$B$20,AND(Setup!$C$20&lt;&gt;"",$G81=Setup!$C$20)),1,0))))</f>
        <v>0</v>
      </c>
      <c r="AH81" s="60" t="n">
        <f aca="false">IF(OR($S81=0,Setup!$B$21=""),0,IF(OR($G81="",$G81="Everyone"),1,IF($G81="Custom",N(X81),IF(OR($G81=Setup!$B$21,AND(Setup!$C$21&lt;&gt;"",$G81=Setup!$C$21)),1,0))))</f>
        <v>0</v>
      </c>
      <c r="AI81" s="60" t="n">
        <f aca="false">IF(OR($S81=0,Setup!$B$22=""),0,IF(OR($G81="",$G81="Everyone"),1,IF($G81="Custom",N(Y81),IF(OR($G81=Setup!$B$22,AND(Setup!$C$22&lt;&gt;"",$G81=Setup!$C$22)),1,0))))</f>
        <v>0</v>
      </c>
      <c r="AJ81" s="60" t="n">
        <f aca="false">IF(OR($S81=0,Setup!$B$23=""),0,IF(OR($G81="",$G81="Everyone"),1,IF($G81="Custom",N(Z81),IF(OR($G81=Setup!$B$23,AND(Setup!$C$23&lt;&gt;"",$G81=Setup!$C$23)),1,0))))</f>
        <v>0</v>
      </c>
      <c r="AK81" s="60" t="n">
        <f aca="false">IF(OR($S81=0,Setup!$B$24=""),0,IF(OR($G81="",$G81="Everyone"),1,IF($G81="Custom",N(AA81),IF(OR($G81=Setup!$B$24,AND(Setup!$C$24&lt;&gt;"",$G81=Setup!$C$24)),1,0))))</f>
        <v>0</v>
      </c>
      <c r="AL81" s="60" t="n">
        <f aca="false">IF(OR($S81=0,Setup!$B$25=""),0,IF(OR($G81="",$G81="Everyone"),1,IF($G81="Custom",N(AB81),IF(OR($G81=Setup!$B$25,AND(Setup!$C$25&lt;&gt;"",$G81=Setup!$C$25)),1,0))))</f>
        <v>0</v>
      </c>
      <c r="AM81" s="60" t="n">
        <f aca="false">IF(OR($S81=0,Setup!$B$26=""),0,IF(OR($G81="",$G81="Everyone"),1,IF($G81="Custom",N(AC81),IF(OR($G81=Setup!$B$26,AND(Setup!$C$26&lt;&gt;"",$G81=Setup!$C$26)),1,0))))</f>
        <v>0</v>
      </c>
      <c r="AN81" s="60" t="n">
        <f aca="false">IF(OR($S81=0,Setup!$B$27=""),0,IF(OR($G81="",$G81="Everyone"),1,IF($G81="Custom",N(AD81),IF(OR($G81=Setup!$B$27,AND(Setup!$C$27&lt;&gt;"",$G81=Setup!$C$27)),1,0))))</f>
        <v>0</v>
      </c>
      <c r="AO81" s="60" t="n">
        <f aca="false">IF(SUM(AE81:AN81)=0,1,SUM(AE81:AN81))</f>
        <v>1</v>
      </c>
      <c r="AP81" s="60" t="n">
        <f aca="false">IF(H81="Paid",1,0)</f>
        <v>0</v>
      </c>
      <c r="AQ81" s="60" t="n">
        <f aca="false">IF(AND(S81&gt;0,SUM(AE81:AN81)=0),S81,0)</f>
        <v>0</v>
      </c>
      <c r="AR81" s="60" t="str">
        <f aca="false">IF(AND(N81&lt;&gt;"",TodayDay&lt;&gt;"",N81=TodayDay),COUNTIF($N$6:N81,TodayDay),"")</f>
        <v/>
      </c>
      <c r="AS81" s="60" t="n">
        <f aca="false">IF(B81="",0,IF(COUNTIFS(Settings!$A$5:$A$29,B81,Settings!$B$5:$B$29,"Yes")&gt;0,1,0))</f>
        <v>0</v>
      </c>
      <c r="AT81" s="61" t="n">
        <f aca="false">IF(OR(N81="",TodayDay=""),IF(N81="",S81,0),IF(N81&lt;TodayDay,S81,0))</f>
        <v>0</v>
      </c>
    </row>
    <row r="82" customFormat="false" ht="15" hidden="false" customHeight="false" outlineLevel="0" collapsed="false">
      <c r="A82" s="23"/>
      <c r="B82" s="23"/>
      <c r="C82" s="23"/>
      <c r="D82" s="56"/>
      <c r="E82" s="23"/>
      <c r="F82" s="23"/>
      <c r="G82" s="23"/>
      <c r="H82" s="23"/>
      <c r="I82" s="56"/>
      <c r="J82" s="23"/>
      <c r="K82" s="28"/>
      <c r="L82" s="23"/>
      <c r="M82" s="23"/>
      <c r="N82" s="25" t="str">
        <f aca="false">IF(A82="","",IF(LEFT(A82,3)="Pre",0,IFERROR(VALUE(MID(A82,5,FIND(" ",A82&amp;" ",5)-5)),"")))</f>
        <v/>
      </c>
      <c r="O82" s="57" t="str">
        <f aca="false">IF(N82="","",IF(N82=0,"Before trip",IF(TripStart="","",TripStart+N82-1)))</f>
        <v/>
      </c>
      <c r="P82" s="58" t="str">
        <f aca="false">IF(AND(D82="",I82=""),"",IF(OR(E82="",E82=HomeCcy),1,IFERROR(INDEX(Setup!$J$26:$J$33,MATCH(E82,Setup!$G$26:$G$33,0)),IFERROR(INDEX(Settings!$S$5:$S$64,MATCH(E82,Settings!$R$5:$R$64,0))/HomeINR,1))))</f>
        <v/>
      </c>
      <c r="Q82" s="34" t="str">
        <f aca="false">IF(D82="","",D82*P82)</f>
        <v/>
      </c>
      <c r="R82" s="34" t="str">
        <f aca="false">IF(I82="","",I82*P82)</f>
        <v/>
      </c>
      <c r="S82" s="33" t="n">
        <f aca="false">IF(H82="Cancelled",0,IF(R82&lt;&gt;"",R82,IF(Q82&lt;&gt;"",Q82,0)))</f>
        <v>0</v>
      </c>
      <c r="T82" s="45" t="str">
        <f aca="false">IF(S82=0,"",IF(SUM(AE82:AN82)=0,"⚠ nobody picked",COUNTIF(AE82:AN82,"&gt;0")&amp;" people"))</f>
        <v/>
      </c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60" t="n">
        <f aca="false">IF(OR($S82=0,Setup!$B$18=""),0,IF(OR($G82="",$G82="Everyone"),1,IF($G82="Custom",N(U82),IF(OR($G82=Setup!$B$18,AND(Setup!$C$18&lt;&gt;"",$G82=Setup!$C$18)),1,0))))</f>
        <v>0</v>
      </c>
      <c r="AF82" s="60" t="n">
        <f aca="false">IF(OR($S82=0,Setup!$B$19=""),0,IF(OR($G82="",$G82="Everyone"),1,IF($G82="Custom",N(V82),IF(OR($G82=Setup!$B$19,AND(Setup!$C$19&lt;&gt;"",$G82=Setup!$C$19)),1,0))))</f>
        <v>0</v>
      </c>
      <c r="AG82" s="60" t="n">
        <f aca="false">IF(OR($S82=0,Setup!$B$20=""),0,IF(OR($G82="",$G82="Everyone"),1,IF($G82="Custom",N(W82),IF(OR($G82=Setup!$B$20,AND(Setup!$C$20&lt;&gt;"",$G82=Setup!$C$20)),1,0))))</f>
        <v>0</v>
      </c>
      <c r="AH82" s="60" t="n">
        <f aca="false">IF(OR($S82=0,Setup!$B$21=""),0,IF(OR($G82="",$G82="Everyone"),1,IF($G82="Custom",N(X82),IF(OR($G82=Setup!$B$21,AND(Setup!$C$21&lt;&gt;"",$G82=Setup!$C$21)),1,0))))</f>
        <v>0</v>
      </c>
      <c r="AI82" s="60" t="n">
        <f aca="false">IF(OR($S82=0,Setup!$B$22=""),0,IF(OR($G82="",$G82="Everyone"),1,IF($G82="Custom",N(Y82),IF(OR($G82=Setup!$B$22,AND(Setup!$C$22&lt;&gt;"",$G82=Setup!$C$22)),1,0))))</f>
        <v>0</v>
      </c>
      <c r="AJ82" s="60" t="n">
        <f aca="false">IF(OR($S82=0,Setup!$B$23=""),0,IF(OR($G82="",$G82="Everyone"),1,IF($G82="Custom",N(Z82),IF(OR($G82=Setup!$B$23,AND(Setup!$C$23&lt;&gt;"",$G82=Setup!$C$23)),1,0))))</f>
        <v>0</v>
      </c>
      <c r="AK82" s="60" t="n">
        <f aca="false">IF(OR($S82=0,Setup!$B$24=""),0,IF(OR($G82="",$G82="Everyone"),1,IF($G82="Custom",N(AA82),IF(OR($G82=Setup!$B$24,AND(Setup!$C$24&lt;&gt;"",$G82=Setup!$C$24)),1,0))))</f>
        <v>0</v>
      </c>
      <c r="AL82" s="60" t="n">
        <f aca="false">IF(OR($S82=0,Setup!$B$25=""),0,IF(OR($G82="",$G82="Everyone"),1,IF($G82="Custom",N(AB82),IF(OR($G82=Setup!$B$25,AND(Setup!$C$25&lt;&gt;"",$G82=Setup!$C$25)),1,0))))</f>
        <v>0</v>
      </c>
      <c r="AM82" s="60" t="n">
        <f aca="false">IF(OR($S82=0,Setup!$B$26=""),0,IF(OR($G82="",$G82="Everyone"),1,IF($G82="Custom",N(AC82),IF(OR($G82=Setup!$B$26,AND(Setup!$C$26&lt;&gt;"",$G82=Setup!$C$26)),1,0))))</f>
        <v>0</v>
      </c>
      <c r="AN82" s="60" t="n">
        <f aca="false">IF(OR($S82=0,Setup!$B$27=""),0,IF(OR($G82="",$G82="Everyone"),1,IF($G82="Custom",N(AD82),IF(OR($G82=Setup!$B$27,AND(Setup!$C$27&lt;&gt;"",$G82=Setup!$C$27)),1,0))))</f>
        <v>0</v>
      </c>
      <c r="AO82" s="60" t="n">
        <f aca="false">IF(SUM(AE82:AN82)=0,1,SUM(AE82:AN82))</f>
        <v>1</v>
      </c>
      <c r="AP82" s="60" t="n">
        <f aca="false">IF(H82="Paid",1,0)</f>
        <v>0</v>
      </c>
      <c r="AQ82" s="60" t="n">
        <f aca="false">IF(AND(S82&gt;0,SUM(AE82:AN82)=0),S82,0)</f>
        <v>0</v>
      </c>
      <c r="AR82" s="60" t="str">
        <f aca="false">IF(AND(N82&lt;&gt;"",TodayDay&lt;&gt;"",N82=TodayDay),COUNTIF($N$6:N82,TodayDay),"")</f>
        <v/>
      </c>
      <c r="AS82" s="60" t="n">
        <f aca="false">IF(B82="",0,IF(COUNTIFS(Settings!$A$5:$A$29,B82,Settings!$B$5:$B$29,"Yes")&gt;0,1,0))</f>
        <v>0</v>
      </c>
      <c r="AT82" s="61" t="n">
        <f aca="false">IF(OR(N82="",TodayDay=""),IF(N82="",S82,0),IF(N82&lt;TodayDay,S82,0))</f>
        <v>0</v>
      </c>
    </row>
    <row r="83" customFormat="false" ht="15" hidden="false" customHeight="false" outlineLevel="0" collapsed="false">
      <c r="A83" s="23"/>
      <c r="B83" s="23"/>
      <c r="C83" s="23"/>
      <c r="D83" s="56"/>
      <c r="E83" s="23"/>
      <c r="F83" s="23"/>
      <c r="G83" s="23"/>
      <c r="H83" s="23"/>
      <c r="I83" s="56"/>
      <c r="J83" s="23"/>
      <c r="K83" s="28"/>
      <c r="L83" s="23"/>
      <c r="M83" s="23"/>
      <c r="N83" s="25" t="str">
        <f aca="false">IF(A83="","",IF(LEFT(A83,3)="Pre",0,IFERROR(VALUE(MID(A83,5,FIND(" ",A83&amp;" ",5)-5)),"")))</f>
        <v/>
      </c>
      <c r="O83" s="57" t="str">
        <f aca="false">IF(N83="","",IF(N83=0,"Before trip",IF(TripStart="","",TripStart+N83-1)))</f>
        <v/>
      </c>
      <c r="P83" s="58" t="str">
        <f aca="false">IF(AND(D83="",I83=""),"",IF(OR(E83="",E83=HomeCcy),1,IFERROR(INDEX(Setup!$J$26:$J$33,MATCH(E83,Setup!$G$26:$G$33,0)),IFERROR(INDEX(Settings!$S$5:$S$64,MATCH(E83,Settings!$R$5:$R$64,0))/HomeINR,1))))</f>
        <v/>
      </c>
      <c r="Q83" s="34" t="str">
        <f aca="false">IF(D83="","",D83*P83)</f>
        <v/>
      </c>
      <c r="R83" s="34" t="str">
        <f aca="false">IF(I83="","",I83*P83)</f>
        <v/>
      </c>
      <c r="S83" s="33" t="n">
        <f aca="false">IF(H83="Cancelled",0,IF(R83&lt;&gt;"",R83,IF(Q83&lt;&gt;"",Q83,0)))</f>
        <v>0</v>
      </c>
      <c r="T83" s="45" t="str">
        <f aca="false">IF(S83=0,"",IF(SUM(AE83:AN83)=0,"⚠ nobody picked",COUNTIF(AE83:AN83,"&gt;0")&amp;" people"))</f>
        <v/>
      </c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60" t="n">
        <f aca="false">IF(OR($S83=0,Setup!$B$18=""),0,IF(OR($G83="",$G83="Everyone"),1,IF($G83="Custom",N(U83),IF(OR($G83=Setup!$B$18,AND(Setup!$C$18&lt;&gt;"",$G83=Setup!$C$18)),1,0))))</f>
        <v>0</v>
      </c>
      <c r="AF83" s="60" t="n">
        <f aca="false">IF(OR($S83=0,Setup!$B$19=""),0,IF(OR($G83="",$G83="Everyone"),1,IF($G83="Custom",N(V83),IF(OR($G83=Setup!$B$19,AND(Setup!$C$19&lt;&gt;"",$G83=Setup!$C$19)),1,0))))</f>
        <v>0</v>
      </c>
      <c r="AG83" s="60" t="n">
        <f aca="false">IF(OR($S83=0,Setup!$B$20=""),0,IF(OR($G83="",$G83="Everyone"),1,IF($G83="Custom",N(W83),IF(OR($G83=Setup!$B$20,AND(Setup!$C$20&lt;&gt;"",$G83=Setup!$C$20)),1,0))))</f>
        <v>0</v>
      </c>
      <c r="AH83" s="60" t="n">
        <f aca="false">IF(OR($S83=0,Setup!$B$21=""),0,IF(OR($G83="",$G83="Everyone"),1,IF($G83="Custom",N(X83),IF(OR($G83=Setup!$B$21,AND(Setup!$C$21&lt;&gt;"",$G83=Setup!$C$21)),1,0))))</f>
        <v>0</v>
      </c>
      <c r="AI83" s="60" t="n">
        <f aca="false">IF(OR($S83=0,Setup!$B$22=""),0,IF(OR($G83="",$G83="Everyone"),1,IF($G83="Custom",N(Y83),IF(OR($G83=Setup!$B$22,AND(Setup!$C$22&lt;&gt;"",$G83=Setup!$C$22)),1,0))))</f>
        <v>0</v>
      </c>
      <c r="AJ83" s="60" t="n">
        <f aca="false">IF(OR($S83=0,Setup!$B$23=""),0,IF(OR($G83="",$G83="Everyone"),1,IF($G83="Custom",N(Z83),IF(OR($G83=Setup!$B$23,AND(Setup!$C$23&lt;&gt;"",$G83=Setup!$C$23)),1,0))))</f>
        <v>0</v>
      </c>
      <c r="AK83" s="60" t="n">
        <f aca="false">IF(OR($S83=0,Setup!$B$24=""),0,IF(OR($G83="",$G83="Everyone"),1,IF($G83="Custom",N(AA83),IF(OR($G83=Setup!$B$24,AND(Setup!$C$24&lt;&gt;"",$G83=Setup!$C$24)),1,0))))</f>
        <v>0</v>
      </c>
      <c r="AL83" s="60" t="n">
        <f aca="false">IF(OR($S83=0,Setup!$B$25=""),0,IF(OR($G83="",$G83="Everyone"),1,IF($G83="Custom",N(AB83),IF(OR($G83=Setup!$B$25,AND(Setup!$C$25&lt;&gt;"",$G83=Setup!$C$25)),1,0))))</f>
        <v>0</v>
      </c>
      <c r="AM83" s="60" t="n">
        <f aca="false">IF(OR($S83=0,Setup!$B$26=""),0,IF(OR($G83="",$G83="Everyone"),1,IF($G83="Custom",N(AC83),IF(OR($G83=Setup!$B$26,AND(Setup!$C$26&lt;&gt;"",$G83=Setup!$C$26)),1,0))))</f>
        <v>0</v>
      </c>
      <c r="AN83" s="60" t="n">
        <f aca="false">IF(OR($S83=0,Setup!$B$27=""),0,IF(OR($G83="",$G83="Everyone"),1,IF($G83="Custom",N(AD83),IF(OR($G83=Setup!$B$27,AND(Setup!$C$27&lt;&gt;"",$G83=Setup!$C$27)),1,0))))</f>
        <v>0</v>
      </c>
      <c r="AO83" s="60" t="n">
        <f aca="false">IF(SUM(AE83:AN83)=0,1,SUM(AE83:AN83))</f>
        <v>1</v>
      </c>
      <c r="AP83" s="60" t="n">
        <f aca="false">IF(H83="Paid",1,0)</f>
        <v>0</v>
      </c>
      <c r="AQ83" s="60" t="n">
        <f aca="false">IF(AND(S83&gt;0,SUM(AE83:AN83)=0),S83,0)</f>
        <v>0</v>
      </c>
      <c r="AR83" s="60" t="str">
        <f aca="false">IF(AND(N83&lt;&gt;"",TodayDay&lt;&gt;"",N83=TodayDay),COUNTIF($N$6:N83,TodayDay),"")</f>
        <v/>
      </c>
      <c r="AS83" s="60" t="n">
        <f aca="false">IF(B83="",0,IF(COUNTIFS(Settings!$A$5:$A$29,B83,Settings!$B$5:$B$29,"Yes")&gt;0,1,0))</f>
        <v>0</v>
      </c>
      <c r="AT83" s="61" t="n">
        <f aca="false">IF(OR(N83="",TodayDay=""),IF(N83="",S83,0),IF(N83&lt;TodayDay,S83,0))</f>
        <v>0</v>
      </c>
    </row>
    <row r="84" customFormat="false" ht="15" hidden="false" customHeight="false" outlineLevel="0" collapsed="false">
      <c r="A84" s="23"/>
      <c r="B84" s="23"/>
      <c r="C84" s="23"/>
      <c r="D84" s="56"/>
      <c r="E84" s="23"/>
      <c r="F84" s="23"/>
      <c r="G84" s="23"/>
      <c r="H84" s="23"/>
      <c r="I84" s="56"/>
      <c r="J84" s="23"/>
      <c r="K84" s="28"/>
      <c r="L84" s="23"/>
      <c r="M84" s="23"/>
      <c r="N84" s="25" t="str">
        <f aca="false">IF(A84="","",IF(LEFT(A84,3)="Pre",0,IFERROR(VALUE(MID(A84,5,FIND(" ",A84&amp;" ",5)-5)),"")))</f>
        <v/>
      </c>
      <c r="O84" s="57" t="str">
        <f aca="false">IF(N84="","",IF(N84=0,"Before trip",IF(TripStart="","",TripStart+N84-1)))</f>
        <v/>
      </c>
      <c r="P84" s="58" t="str">
        <f aca="false">IF(AND(D84="",I84=""),"",IF(OR(E84="",E84=HomeCcy),1,IFERROR(INDEX(Setup!$J$26:$J$33,MATCH(E84,Setup!$G$26:$G$33,0)),IFERROR(INDEX(Settings!$S$5:$S$64,MATCH(E84,Settings!$R$5:$R$64,0))/HomeINR,1))))</f>
        <v/>
      </c>
      <c r="Q84" s="34" t="str">
        <f aca="false">IF(D84="","",D84*P84)</f>
        <v/>
      </c>
      <c r="R84" s="34" t="str">
        <f aca="false">IF(I84="","",I84*P84)</f>
        <v/>
      </c>
      <c r="S84" s="33" t="n">
        <f aca="false">IF(H84="Cancelled",0,IF(R84&lt;&gt;"",R84,IF(Q84&lt;&gt;"",Q84,0)))</f>
        <v>0</v>
      </c>
      <c r="T84" s="45" t="str">
        <f aca="false">IF(S84=0,"",IF(SUM(AE84:AN84)=0,"⚠ nobody picked",COUNTIF(AE84:AN84,"&gt;0")&amp;" people"))</f>
        <v/>
      </c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60" t="n">
        <f aca="false">IF(OR($S84=0,Setup!$B$18=""),0,IF(OR($G84="",$G84="Everyone"),1,IF($G84="Custom",N(U84),IF(OR($G84=Setup!$B$18,AND(Setup!$C$18&lt;&gt;"",$G84=Setup!$C$18)),1,0))))</f>
        <v>0</v>
      </c>
      <c r="AF84" s="60" t="n">
        <f aca="false">IF(OR($S84=0,Setup!$B$19=""),0,IF(OR($G84="",$G84="Everyone"),1,IF($G84="Custom",N(V84),IF(OR($G84=Setup!$B$19,AND(Setup!$C$19&lt;&gt;"",$G84=Setup!$C$19)),1,0))))</f>
        <v>0</v>
      </c>
      <c r="AG84" s="60" t="n">
        <f aca="false">IF(OR($S84=0,Setup!$B$20=""),0,IF(OR($G84="",$G84="Everyone"),1,IF($G84="Custom",N(W84),IF(OR($G84=Setup!$B$20,AND(Setup!$C$20&lt;&gt;"",$G84=Setup!$C$20)),1,0))))</f>
        <v>0</v>
      </c>
      <c r="AH84" s="60" t="n">
        <f aca="false">IF(OR($S84=0,Setup!$B$21=""),0,IF(OR($G84="",$G84="Everyone"),1,IF($G84="Custom",N(X84),IF(OR($G84=Setup!$B$21,AND(Setup!$C$21&lt;&gt;"",$G84=Setup!$C$21)),1,0))))</f>
        <v>0</v>
      </c>
      <c r="AI84" s="60" t="n">
        <f aca="false">IF(OR($S84=0,Setup!$B$22=""),0,IF(OR($G84="",$G84="Everyone"),1,IF($G84="Custom",N(Y84),IF(OR($G84=Setup!$B$22,AND(Setup!$C$22&lt;&gt;"",$G84=Setup!$C$22)),1,0))))</f>
        <v>0</v>
      </c>
      <c r="AJ84" s="60" t="n">
        <f aca="false">IF(OR($S84=0,Setup!$B$23=""),0,IF(OR($G84="",$G84="Everyone"),1,IF($G84="Custom",N(Z84),IF(OR($G84=Setup!$B$23,AND(Setup!$C$23&lt;&gt;"",$G84=Setup!$C$23)),1,0))))</f>
        <v>0</v>
      </c>
      <c r="AK84" s="60" t="n">
        <f aca="false">IF(OR($S84=0,Setup!$B$24=""),0,IF(OR($G84="",$G84="Everyone"),1,IF($G84="Custom",N(AA84),IF(OR($G84=Setup!$B$24,AND(Setup!$C$24&lt;&gt;"",$G84=Setup!$C$24)),1,0))))</f>
        <v>0</v>
      </c>
      <c r="AL84" s="60" t="n">
        <f aca="false">IF(OR($S84=0,Setup!$B$25=""),0,IF(OR($G84="",$G84="Everyone"),1,IF($G84="Custom",N(AB84),IF(OR($G84=Setup!$B$25,AND(Setup!$C$25&lt;&gt;"",$G84=Setup!$C$25)),1,0))))</f>
        <v>0</v>
      </c>
      <c r="AM84" s="60" t="n">
        <f aca="false">IF(OR($S84=0,Setup!$B$26=""),0,IF(OR($G84="",$G84="Everyone"),1,IF($G84="Custom",N(AC84),IF(OR($G84=Setup!$B$26,AND(Setup!$C$26&lt;&gt;"",$G84=Setup!$C$26)),1,0))))</f>
        <v>0</v>
      </c>
      <c r="AN84" s="60" t="n">
        <f aca="false">IF(OR($S84=0,Setup!$B$27=""),0,IF(OR($G84="",$G84="Everyone"),1,IF($G84="Custom",N(AD84),IF(OR($G84=Setup!$B$27,AND(Setup!$C$27&lt;&gt;"",$G84=Setup!$C$27)),1,0))))</f>
        <v>0</v>
      </c>
      <c r="AO84" s="60" t="n">
        <f aca="false">IF(SUM(AE84:AN84)=0,1,SUM(AE84:AN84))</f>
        <v>1</v>
      </c>
      <c r="AP84" s="60" t="n">
        <f aca="false">IF(H84="Paid",1,0)</f>
        <v>0</v>
      </c>
      <c r="AQ84" s="60" t="n">
        <f aca="false">IF(AND(S84&gt;0,SUM(AE84:AN84)=0),S84,0)</f>
        <v>0</v>
      </c>
      <c r="AR84" s="60" t="str">
        <f aca="false">IF(AND(N84&lt;&gt;"",TodayDay&lt;&gt;"",N84=TodayDay),COUNTIF($N$6:N84,TodayDay),"")</f>
        <v/>
      </c>
      <c r="AS84" s="60" t="n">
        <f aca="false">IF(B84="",0,IF(COUNTIFS(Settings!$A$5:$A$29,B84,Settings!$B$5:$B$29,"Yes")&gt;0,1,0))</f>
        <v>0</v>
      </c>
      <c r="AT84" s="61" t="n">
        <f aca="false">IF(OR(N84="",TodayDay=""),IF(N84="",S84,0),IF(N84&lt;TodayDay,S84,0))</f>
        <v>0</v>
      </c>
    </row>
    <row r="85" customFormat="false" ht="15" hidden="false" customHeight="false" outlineLevel="0" collapsed="false">
      <c r="A85" s="23"/>
      <c r="B85" s="23"/>
      <c r="C85" s="23"/>
      <c r="D85" s="56"/>
      <c r="E85" s="23"/>
      <c r="F85" s="23"/>
      <c r="G85" s="23"/>
      <c r="H85" s="23"/>
      <c r="I85" s="56"/>
      <c r="J85" s="23"/>
      <c r="K85" s="28"/>
      <c r="L85" s="23"/>
      <c r="M85" s="23"/>
      <c r="N85" s="25" t="str">
        <f aca="false">IF(A85="","",IF(LEFT(A85,3)="Pre",0,IFERROR(VALUE(MID(A85,5,FIND(" ",A85&amp;" ",5)-5)),"")))</f>
        <v/>
      </c>
      <c r="O85" s="57" t="str">
        <f aca="false">IF(N85="","",IF(N85=0,"Before trip",IF(TripStart="","",TripStart+N85-1)))</f>
        <v/>
      </c>
      <c r="P85" s="58" t="str">
        <f aca="false">IF(AND(D85="",I85=""),"",IF(OR(E85="",E85=HomeCcy),1,IFERROR(INDEX(Setup!$J$26:$J$33,MATCH(E85,Setup!$G$26:$G$33,0)),IFERROR(INDEX(Settings!$S$5:$S$64,MATCH(E85,Settings!$R$5:$R$64,0))/HomeINR,1))))</f>
        <v/>
      </c>
      <c r="Q85" s="34" t="str">
        <f aca="false">IF(D85="","",D85*P85)</f>
        <v/>
      </c>
      <c r="R85" s="34" t="str">
        <f aca="false">IF(I85="","",I85*P85)</f>
        <v/>
      </c>
      <c r="S85" s="33" t="n">
        <f aca="false">IF(H85="Cancelled",0,IF(R85&lt;&gt;"",R85,IF(Q85&lt;&gt;"",Q85,0)))</f>
        <v>0</v>
      </c>
      <c r="T85" s="45" t="str">
        <f aca="false">IF(S85=0,"",IF(SUM(AE85:AN85)=0,"⚠ nobody picked",COUNTIF(AE85:AN85,"&gt;0")&amp;" people"))</f>
        <v/>
      </c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60" t="n">
        <f aca="false">IF(OR($S85=0,Setup!$B$18=""),0,IF(OR($G85="",$G85="Everyone"),1,IF($G85="Custom",N(U85),IF(OR($G85=Setup!$B$18,AND(Setup!$C$18&lt;&gt;"",$G85=Setup!$C$18)),1,0))))</f>
        <v>0</v>
      </c>
      <c r="AF85" s="60" t="n">
        <f aca="false">IF(OR($S85=0,Setup!$B$19=""),0,IF(OR($G85="",$G85="Everyone"),1,IF($G85="Custom",N(V85),IF(OR($G85=Setup!$B$19,AND(Setup!$C$19&lt;&gt;"",$G85=Setup!$C$19)),1,0))))</f>
        <v>0</v>
      </c>
      <c r="AG85" s="60" t="n">
        <f aca="false">IF(OR($S85=0,Setup!$B$20=""),0,IF(OR($G85="",$G85="Everyone"),1,IF($G85="Custom",N(W85),IF(OR($G85=Setup!$B$20,AND(Setup!$C$20&lt;&gt;"",$G85=Setup!$C$20)),1,0))))</f>
        <v>0</v>
      </c>
      <c r="AH85" s="60" t="n">
        <f aca="false">IF(OR($S85=0,Setup!$B$21=""),0,IF(OR($G85="",$G85="Everyone"),1,IF($G85="Custom",N(X85),IF(OR($G85=Setup!$B$21,AND(Setup!$C$21&lt;&gt;"",$G85=Setup!$C$21)),1,0))))</f>
        <v>0</v>
      </c>
      <c r="AI85" s="60" t="n">
        <f aca="false">IF(OR($S85=0,Setup!$B$22=""),0,IF(OR($G85="",$G85="Everyone"),1,IF($G85="Custom",N(Y85),IF(OR($G85=Setup!$B$22,AND(Setup!$C$22&lt;&gt;"",$G85=Setup!$C$22)),1,0))))</f>
        <v>0</v>
      </c>
      <c r="AJ85" s="60" t="n">
        <f aca="false">IF(OR($S85=0,Setup!$B$23=""),0,IF(OR($G85="",$G85="Everyone"),1,IF($G85="Custom",N(Z85),IF(OR($G85=Setup!$B$23,AND(Setup!$C$23&lt;&gt;"",$G85=Setup!$C$23)),1,0))))</f>
        <v>0</v>
      </c>
      <c r="AK85" s="60" t="n">
        <f aca="false">IF(OR($S85=0,Setup!$B$24=""),0,IF(OR($G85="",$G85="Everyone"),1,IF($G85="Custom",N(AA85),IF(OR($G85=Setup!$B$24,AND(Setup!$C$24&lt;&gt;"",$G85=Setup!$C$24)),1,0))))</f>
        <v>0</v>
      </c>
      <c r="AL85" s="60" t="n">
        <f aca="false">IF(OR($S85=0,Setup!$B$25=""),0,IF(OR($G85="",$G85="Everyone"),1,IF($G85="Custom",N(AB85),IF(OR($G85=Setup!$B$25,AND(Setup!$C$25&lt;&gt;"",$G85=Setup!$C$25)),1,0))))</f>
        <v>0</v>
      </c>
      <c r="AM85" s="60" t="n">
        <f aca="false">IF(OR($S85=0,Setup!$B$26=""),0,IF(OR($G85="",$G85="Everyone"),1,IF($G85="Custom",N(AC85),IF(OR($G85=Setup!$B$26,AND(Setup!$C$26&lt;&gt;"",$G85=Setup!$C$26)),1,0))))</f>
        <v>0</v>
      </c>
      <c r="AN85" s="60" t="n">
        <f aca="false">IF(OR($S85=0,Setup!$B$27=""),0,IF(OR($G85="",$G85="Everyone"),1,IF($G85="Custom",N(AD85),IF(OR($G85=Setup!$B$27,AND(Setup!$C$27&lt;&gt;"",$G85=Setup!$C$27)),1,0))))</f>
        <v>0</v>
      </c>
      <c r="AO85" s="60" t="n">
        <f aca="false">IF(SUM(AE85:AN85)=0,1,SUM(AE85:AN85))</f>
        <v>1</v>
      </c>
      <c r="AP85" s="60" t="n">
        <f aca="false">IF(H85="Paid",1,0)</f>
        <v>0</v>
      </c>
      <c r="AQ85" s="60" t="n">
        <f aca="false">IF(AND(S85&gt;0,SUM(AE85:AN85)=0),S85,0)</f>
        <v>0</v>
      </c>
      <c r="AR85" s="60" t="str">
        <f aca="false">IF(AND(N85&lt;&gt;"",TodayDay&lt;&gt;"",N85=TodayDay),COUNTIF($N$6:N85,TodayDay),"")</f>
        <v/>
      </c>
      <c r="AS85" s="60" t="n">
        <f aca="false">IF(B85="",0,IF(COUNTIFS(Settings!$A$5:$A$29,B85,Settings!$B$5:$B$29,"Yes")&gt;0,1,0))</f>
        <v>0</v>
      </c>
      <c r="AT85" s="61" t="n">
        <f aca="false">IF(OR(N85="",TodayDay=""),IF(N85="",S85,0),IF(N85&lt;TodayDay,S85,0))</f>
        <v>0</v>
      </c>
    </row>
    <row r="86" customFormat="false" ht="15" hidden="false" customHeight="false" outlineLevel="0" collapsed="false">
      <c r="A86" s="23"/>
      <c r="B86" s="23"/>
      <c r="C86" s="23"/>
      <c r="D86" s="56"/>
      <c r="E86" s="23"/>
      <c r="F86" s="23"/>
      <c r="G86" s="23"/>
      <c r="H86" s="23"/>
      <c r="I86" s="56"/>
      <c r="J86" s="23"/>
      <c r="K86" s="28"/>
      <c r="L86" s="23"/>
      <c r="M86" s="23"/>
      <c r="N86" s="25" t="str">
        <f aca="false">IF(A86="","",IF(LEFT(A86,3)="Pre",0,IFERROR(VALUE(MID(A86,5,FIND(" ",A86&amp;" ",5)-5)),"")))</f>
        <v/>
      </c>
      <c r="O86" s="57" t="str">
        <f aca="false">IF(N86="","",IF(N86=0,"Before trip",IF(TripStart="","",TripStart+N86-1)))</f>
        <v/>
      </c>
      <c r="P86" s="58" t="str">
        <f aca="false">IF(AND(D86="",I86=""),"",IF(OR(E86="",E86=HomeCcy),1,IFERROR(INDEX(Setup!$J$26:$J$33,MATCH(E86,Setup!$G$26:$G$33,0)),IFERROR(INDEX(Settings!$S$5:$S$64,MATCH(E86,Settings!$R$5:$R$64,0))/HomeINR,1))))</f>
        <v/>
      </c>
      <c r="Q86" s="34" t="str">
        <f aca="false">IF(D86="","",D86*P86)</f>
        <v/>
      </c>
      <c r="R86" s="34" t="str">
        <f aca="false">IF(I86="","",I86*P86)</f>
        <v/>
      </c>
      <c r="S86" s="33" t="n">
        <f aca="false">IF(H86="Cancelled",0,IF(R86&lt;&gt;"",R86,IF(Q86&lt;&gt;"",Q86,0)))</f>
        <v>0</v>
      </c>
      <c r="T86" s="45" t="str">
        <f aca="false">IF(S86=0,"",IF(SUM(AE86:AN86)=0,"⚠ nobody picked",COUNTIF(AE86:AN86,"&gt;0")&amp;" people"))</f>
        <v/>
      </c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60" t="n">
        <f aca="false">IF(OR($S86=0,Setup!$B$18=""),0,IF(OR($G86="",$G86="Everyone"),1,IF($G86="Custom",N(U86),IF(OR($G86=Setup!$B$18,AND(Setup!$C$18&lt;&gt;"",$G86=Setup!$C$18)),1,0))))</f>
        <v>0</v>
      </c>
      <c r="AF86" s="60" t="n">
        <f aca="false">IF(OR($S86=0,Setup!$B$19=""),0,IF(OR($G86="",$G86="Everyone"),1,IF($G86="Custom",N(V86),IF(OR($G86=Setup!$B$19,AND(Setup!$C$19&lt;&gt;"",$G86=Setup!$C$19)),1,0))))</f>
        <v>0</v>
      </c>
      <c r="AG86" s="60" t="n">
        <f aca="false">IF(OR($S86=0,Setup!$B$20=""),0,IF(OR($G86="",$G86="Everyone"),1,IF($G86="Custom",N(W86),IF(OR($G86=Setup!$B$20,AND(Setup!$C$20&lt;&gt;"",$G86=Setup!$C$20)),1,0))))</f>
        <v>0</v>
      </c>
      <c r="AH86" s="60" t="n">
        <f aca="false">IF(OR($S86=0,Setup!$B$21=""),0,IF(OR($G86="",$G86="Everyone"),1,IF($G86="Custom",N(X86),IF(OR($G86=Setup!$B$21,AND(Setup!$C$21&lt;&gt;"",$G86=Setup!$C$21)),1,0))))</f>
        <v>0</v>
      </c>
      <c r="AI86" s="60" t="n">
        <f aca="false">IF(OR($S86=0,Setup!$B$22=""),0,IF(OR($G86="",$G86="Everyone"),1,IF($G86="Custom",N(Y86),IF(OR($G86=Setup!$B$22,AND(Setup!$C$22&lt;&gt;"",$G86=Setup!$C$22)),1,0))))</f>
        <v>0</v>
      </c>
      <c r="AJ86" s="60" t="n">
        <f aca="false">IF(OR($S86=0,Setup!$B$23=""),0,IF(OR($G86="",$G86="Everyone"),1,IF($G86="Custom",N(Z86),IF(OR($G86=Setup!$B$23,AND(Setup!$C$23&lt;&gt;"",$G86=Setup!$C$23)),1,0))))</f>
        <v>0</v>
      </c>
      <c r="AK86" s="60" t="n">
        <f aca="false">IF(OR($S86=0,Setup!$B$24=""),0,IF(OR($G86="",$G86="Everyone"),1,IF($G86="Custom",N(AA86),IF(OR($G86=Setup!$B$24,AND(Setup!$C$24&lt;&gt;"",$G86=Setup!$C$24)),1,0))))</f>
        <v>0</v>
      </c>
      <c r="AL86" s="60" t="n">
        <f aca="false">IF(OR($S86=0,Setup!$B$25=""),0,IF(OR($G86="",$G86="Everyone"),1,IF($G86="Custom",N(AB86),IF(OR($G86=Setup!$B$25,AND(Setup!$C$25&lt;&gt;"",$G86=Setup!$C$25)),1,0))))</f>
        <v>0</v>
      </c>
      <c r="AM86" s="60" t="n">
        <f aca="false">IF(OR($S86=0,Setup!$B$26=""),0,IF(OR($G86="",$G86="Everyone"),1,IF($G86="Custom",N(AC86),IF(OR($G86=Setup!$B$26,AND(Setup!$C$26&lt;&gt;"",$G86=Setup!$C$26)),1,0))))</f>
        <v>0</v>
      </c>
      <c r="AN86" s="60" t="n">
        <f aca="false">IF(OR($S86=0,Setup!$B$27=""),0,IF(OR($G86="",$G86="Everyone"),1,IF($G86="Custom",N(AD86),IF(OR($G86=Setup!$B$27,AND(Setup!$C$27&lt;&gt;"",$G86=Setup!$C$27)),1,0))))</f>
        <v>0</v>
      </c>
      <c r="AO86" s="60" t="n">
        <f aca="false">IF(SUM(AE86:AN86)=0,1,SUM(AE86:AN86))</f>
        <v>1</v>
      </c>
      <c r="AP86" s="60" t="n">
        <f aca="false">IF(H86="Paid",1,0)</f>
        <v>0</v>
      </c>
      <c r="AQ86" s="60" t="n">
        <f aca="false">IF(AND(S86&gt;0,SUM(AE86:AN86)=0),S86,0)</f>
        <v>0</v>
      </c>
      <c r="AR86" s="60" t="str">
        <f aca="false">IF(AND(N86&lt;&gt;"",TodayDay&lt;&gt;"",N86=TodayDay),COUNTIF($N$6:N86,TodayDay),"")</f>
        <v/>
      </c>
      <c r="AS86" s="60" t="n">
        <f aca="false">IF(B86="",0,IF(COUNTIFS(Settings!$A$5:$A$29,B86,Settings!$B$5:$B$29,"Yes")&gt;0,1,0))</f>
        <v>0</v>
      </c>
      <c r="AT86" s="61" t="n">
        <f aca="false">IF(OR(N86="",TodayDay=""),IF(N86="",S86,0),IF(N86&lt;TodayDay,S86,0))</f>
        <v>0</v>
      </c>
    </row>
    <row r="87" customFormat="false" ht="15" hidden="false" customHeight="false" outlineLevel="0" collapsed="false">
      <c r="A87" s="23"/>
      <c r="B87" s="23"/>
      <c r="C87" s="23"/>
      <c r="D87" s="56"/>
      <c r="E87" s="23"/>
      <c r="F87" s="23"/>
      <c r="G87" s="23"/>
      <c r="H87" s="23"/>
      <c r="I87" s="56"/>
      <c r="J87" s="23"/>
      <c r="K87" s="28"/>
      <c r="L87" s="23"/>
      <c r="M87" s="23"/>
      <c r="N87" s="25" t="str">
        <f aca="false">IF(A87="","",IF(LEFT(A87,3)="Pre",0,IFERROR(VALUE(MID(A87,5,FIND(" ",A87&amp;" ",5)-5)),"")))</f>
        <v/>
      </c>
      <c r="O87" s="57" t="str">
        <f aca="false">IF(N87="","",IF(N87=0,"Before trip",IF(TripStart="","",TripStart+N87-1)))</f>
        <v/>
      </c>
      <c r="P87" s="58" t="str">
        <f aca="false">IF(AND(D87="",I87=""),"",IF(OR(E87="",E87=HomeCcy),1,IFERROR(INDEX(Setup!$J$26:$J$33,MATCH(E87,Setup!$G$26:$G$33,0)),IFERROR(INDEX(Settings!$S$5:$S$64,MATCH(E87,Settings!$R$5:$R$64,0))/HomeINR,1))))</f>
        <v/>
      </c>
      <c r="Q87" s="34" t="str">
        <f aca="false">IF(D87="","",D87*P87)</f>
        <v/>
      </c>
      <c r="R87" s="34" t="str">
        <f aca="false">IF(I87="","",I87*P87)</f>
        <v/>
      </c>
      <c r="S87" s="33" t="n">
        <f aca="false">IF(H87="Cancelled",0,IF(R87&lt;&gt;"",R87,IF(Q87&lt;&gt;"",Q87,0)))</f>
        <v>0</v>
      </c>
      <c r="T87" s="45" t="str">
        <f aca="false">IF(S87=0,"",IF(SUM(AE87:AN87)=0,"⚠ nobody picked",COUNTIF(AE87:AN87,"&gt;0")&amp;" people"))</f>
        <v/>
      </c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60" t="n">
        <f aca="false">IF(OR($S87=0,Setup!$B$18=""),0,IF(OR($G87="",$G87="Everyone"),1,IF($G87="Custom",N(U87),IF(OR($G87=Setup!$B$18,AND(Setup!$C$18&lt;&gt;"",$G87=Setup!$C$18)),1,0))))</f>
        <v>0</v>
      </c>
      <c r="AF87" s="60" t="n">
        <f aca="false">IF(OR($S87=0,Setup!$B$19=""),0,IF(OR($G87="",$G87="Everyone"),1,IF($G87="Custom",N(V87),IF(OR($G87=Setup!$B$19,AND(Setup!$C$19&lt;&gt;"",$G87=Setup!$C$19)),1,0))))</f>
        <v>0</v>
      </c>
      <c r="AG87" s="60" t="n">
        <f aca="false">IF(OR($S87=0,Setup!$B$20=""),0,IF(OR($G87="",$G87="Everyone"),1,IF($G87="Custom",N(W87),IF(OR($G87=Setup!$B$20,AND(Setup!$C$20&lt;&gt;"",$G87=Setup!$C$20)),1,0))))</f>
        <v>0</v>
      </c>
      <c r="AH87" s="60" t="n">
        <f aca="false">IF(OR($S87=0,Setup!$B$21=""),0,IF(OR($G87="",$G87="Everyone"),1,IF($G87="Custom",N(X87),IF(OR($G87=Setup!$B$21,AND(Setup!$C$21&lt;&gt;"",$G87=Setup!$C$21)),1,0))))</f>
        <v>0</v>
      </c>
      <c r="AI87" s="60" t="n">
        <f aca="false">IF(OR($S87=0,Setup!$B$22=""),0,IF(OR($G87="",$G87="Everyone"),1,IF($G87="Custom",N(Y87),IF(OR($G87=Setup!$B$22,AND(Setup!$C$22&lt;&gt;"",$G87=Setup!$C$22)),1,0))))</f>
        <v>0</v>
      </c>
      <c r="AJ87" s="60" t="n">
        <f aca="false">IF(OR($S87=0,Setup!$B$23=""),0,IF(OR($G87="",$G87="Everyone"),1,IF($G87="Custom",N(Z87),IF(OR($G87=Setup!$B$23,AND(Setup!$C$23&lt;&gt;"",$G87=Setup!$C$23)),1,0))))</f>
        <v>0</v>
      </c>
      <c r="AK87" s="60" t="n">
        <f aca="false">IF(OR($S87=0,Setup!$B$24=""),0,IF(OR($G87="",$G87="Everyone"),1,IF($G87="Custom",N(AA87),IF(OR($G87=Setup!$B$24,AND(Setup!$C$24&lt;&gt;"",$G87=Setup!$C$24)),1,0))))</f>
        <v>0</v>
      </c>
      <c r="AL87" s="60" t="n">
        <f aca="false">IF(OR($S87=0,Setup!$B$25=""),0,IF(OR($G87="",$G87="Everyone"),1,IF($G87="Custom",N(AB87),IF(OR($G87=Setup!$B$25,AND(Setup!$C$25&lt;&gt;"",$G87=Setup!$C$25)),1,0))))</f>
        <v>0</v>
      </c>
      <c r="AM87" s="60" t="n">
        <f aca="false">IF(OR($S87=0,Setup!$B$26=""),0,IF(OR($G87="",$G87="Everyone"),1,IF($G87="Custom",N(AC87),IF(OR($G87=Setup!$B$26,AND(Setup!$C$26&lt;&gt;"",$G87=Setup!$C$26)),1,0))))</f>
        <v>0</v>
      </c>
      <c r="AN87" s="60" t="n">
        <f aca="false">IF(OR($S87=0,Setup!$B$27=""),0,IF(OR($G87="",$G87="Everyone"),1,IF($G87="Custom",N(AD87),IF(OR($G87=Setup!$B$27,AND(Setup!$C$27&lt;&gt;"",$G87=Setup!$C$27)),1,0))))</f>
        <v>0</v>
      </c>
      <c r="AO87" s="60" t="n">
        <f aca="false">IF(SUM(AE87:AN87)=0,1,SUM(AE87:AN87))</f>
        <v>1</v>
      </c>
      <c r="AP87" s="60" t="n">
        <f aca="false">IF(H87="Paid",1,0)</f>
        <v>0</v>
      </c>
      <c r="AQ87" s="60" t="n">
        <f aca="false">IF(AND(S87&gt;0,SUM(AE87:AN87)=0),S87,0)</f>
        <v>0</v>
      </c>
      <c r="AR87" s="60" t="str">
        <f aca="false">IF(AND(N87&lt;&gt;"",TodayDay&lt;&gt;"",N87=TodayDay),COUNTIF($N$6:N87,TodayDay),"")</f>
        <v/>
      </c>
      <c r="AS87" s="60" t="n">
        <f aca="false">IF(B87="",0,IF(COUNTIFS(Settings!$A$5:$A$29,B87,Settings!$B$5:$B$29,"Yes")&gt;0,1,0))</f>
        <v>0</v>
      </c>
      <c r="AT87" s="61" t="n">
        <f aca="false">IF(OR(N87="",TodayDay=""),IF(N87="",S87,0),IF(N87&lt;TodayDay,S87,0))</f>
        <v>0</v>
      </c>
    </row>
    <row r="88" customFormat="false" ht="15" hidden="false" customHeight="false" outlineLevel="0" collapsed="false">
      <c r="A88" s="23"/>
      <c r="B88" s="23"/>
      <c r="C88" s="23"/>
      <c r="D88" s="56"/>
      <c r="E88" s="23"/>
      <c r="F88" s="23"/>
      <c r="G88" s="23"/>
      <c r="H88" s="23"/>
      <c r="I88" s="56"/>
      <c r="J88" s="23"/>
      <c r="K88" s="28"/>
      <c r="L88" s="23"/>
      <c r="M88" s="23"/>
      <c r="N88" s="25" t="str">
        <f aca="false">IF(A88="","",IF(LEFT(A88,3)="Pre",0,IFERROR(VALUE(MID(A88,5,FIND(" ",A88&amp;" ",5)-5)),"")))</f>
        <v/>
      </c>
      <c r="O88" s="57" t="str">
        <f aca="false">IF(N88="","",IF(N88=0,"Before trip",IF(TripStart="","",TripStart+N88-1)))</f>
        <v/>
      </c>
      <c r="P88" s="58" t="str">
        <f aca="false">IF(AND(D88="",I88=""),"",IF(OR(E88="",E88=HomeCcy),1,IFERROR(INDEX(Setup!$J$26:$J$33,MATCH(E88,Setup!$G$26:$G$33,0)),IFERROR(INDEX(Settings!$S$5:$S$64,MATCH(E88,Settings!$R$5:$R$64,0))/HomeINR,1))))</f>
        <v/>
      </c>
      <c r="Q88" s="34" t="str">
        <f aca="false">IF(D88="","",D88*P88)</f>
        <v/>
      </c>
      <c r="R88" s="34" t="str">
        <f aca="false">IF(I88="","",I88*P88)</f>
        <v/>
      </c>
      <c r="S88" s="33" t="n">
        <f aca="false">IF(H88="Cancelled",0,IF(R88&lt;&gt;"",R88,IF(Q88&lt;&gt;"",Q88,0)))</f>
        <v>0</v>
      </c>
      <c r="T88" s="45" t="str">
        <f aca="false">IF(S88=0,"",IF(SUM(AE88:AN88)=0,"⚠ nobody picked",COUNTIF(AE88:AN88,"&gt;0")&amp;" people"))</f>
        <v/>
      </c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60" t="n">
        <f aca="false">IF(OR($S88=0,Setup!$B$18=""),0,IF(OR($G88="",$G88="Everyone"),1,IF($G88="Custom",N(U88),IF(OR($G88=Setup!$B$18,AND(Setup!$C$18&lt;&gt;"",$G88=Setup!$C$18)),1,0))))</f>
        <v>0</v>
      </c>
      <c r="AF88" s="60" t="n">
        <f aca="false">IF(OR($S88=0,Setup!$B$19=""),0,IF(OR($G88="",$G88="Everyone"),1,IF($G88="Custom",N(V88),IF(OR($G88=Setup!$B$19,AND(Setup!$C$19&lt;&gt;"",$G88=Setup!$C$19)),1,0))))</f>
        <v>0</v>
      </c>
      <c r="AG88" s="60" t="n">
        <f aca="false">IF(OR($S88=0,Setup!$B$20=""),0,IF(OR($G88="",$G88="Everyone"),1,IF($G88="Custom",N(W88),IF(OR($G88=Setup!$B$20,AND(Setup!$C$20&lt;&gt;"",$G88=Setup!$C$20)),1,0))))</f>
        <v>0</v>
      </c>
      <c r="AH88" s="60" t="n">
        <f aca="false">IF(OR($S88=0,Setup!$B$21=""),0,IF(OR($G88="",$G88="Everyone"),1,IF($G88="Custom",N(X88),IF(OR($G88=Setup!$B$21,AND(Setup!$C$21&lt;&gt;"",$G88=Setup!$C$21)),1,0))))</f>
        <v>0</v>
      </c>
      <c r="AI88" s="60" t="n">
        <f aca="false">IF(OR($S88=0,Setup!$B$22=""),0,IF(OR($G88="",$G88="Everyone"),1,IF($G88="Custom",N(Y88),IF(OR($G88=Setup!$B$22,AND(Setup!$C$22&lt;&gt;"",$G88=Setup!$C$22)),1,0))))</f>
        <v>0</v>
      </c>
      <c r="AJ88" s="60" t="n">
        <f aca="false">IF(OR($S88=0,Setup!$B$23=""),0,IF(OR($G88="",$G88="Everyone"),1,IF($G88="Custom",N(Z88),IF(OR($G88=Setup!$B$23,AND(Setup!$C$23&lt;&gt;"",$G88=Setup!$C$23)),1,0))))</f>
        <v>0</v>
      </c>
      <c r="AK88" s="60" t="n">
        <f aca="false">IF(OR($S88=0,Setup!$B$24=""),0,IF(OR($G88="",$G88="Everyone"),1,IF($G88="Custom",N(AA88),IF(OR($G88=Setup!$B$24,AND(Setup!$C$24&lt;&gt;"",$G88=Setup!$C$24)),1,0))))</f>
        <v>0</v>
      </c>
      <c r="AL88" s="60" t="n">
        <f aca="false">IF(OR($S88=0,Setup!$B$25=""),0,IF(OR($G88="",$G88="Everyone"),1,IF($G88="Custom",N(AB88),IF(OR($G88=Setup!$B$25,AND(Setup!$C$25&lt;&gt;"",$G88=Setup!$C$25)),1,0))))</f>
        <v>0</v>
      </c>
      <c r="AM88" s="60" t="n">
        <f aca="false">IF(OR($S88=0,Setup!$B$26=""),0,IF(OR($G88="",$G88="Everyone"),1,IF($G88="Custom",N(AC88),IF(OR($G88=Setup!$B$26,AND(Setup!$C$26&lt;&gt;"",$G88=Setup!$C$26)),1,0))))</f>
        <v>0</v>
      </c>
      <c r="AN88" s="60" t="n">
        <f aca="false">IF(OR($S88=0,Setup!$B$27=""),0,IF(OR($G88="",$G88="Everyone"),1,IF($G88="Custom",N(AD88),IF(OR($G88=Setup!$B$27,AND(Setup!$C$27&lt;&gt;"",$G88=Setup!$C$27)),1,0))))</f>
        <v>0</v>
      </c>
      <c r="AO88" s="60" t="n">
        <f aca="false">IF(SUM(AE88:AN88)=0,1,SUM(AE88:AN88))</f>
        <v>1</v>
      </c>
      <c r="AP88" s="60" t="n">
        <f aca="false">IF(H88="Paid",1,0)</f>
        <v>0</v>
      </c>
      <c r="AQ88" s="60" t="n">
        <f aca="false">IF(AND(S88&gt;0,SUM(AE88:AN88)=0),S88,0)</f>
        <v>0</v>
      </c>
      <c r="AR88" s="60" t="str">
        <f aca="false">IF(AND(N88&lt;&gt;"",TodayDay&lt;&gt;"",N88=TodayDay),COUNTIF($N$6:N88,TodayDay),"")</f>
        <v/>
      </c>
      <c r="AS88" s="60" t="n">
        <f aca="false">IF(B88="",0,IF(COUNTIFS(Settings!$A$5:$A$29,B88,Settings!$B$5:$B$29,"Yes")&gt;0,1,0))</f>
        <v>0</v>
      </c>
      <c r="AT88" s="61" t="n">
        <f aca="false">IF(OR(N88="",TodayDay=""),IF(N88="",S88,0),IF(N88&lt;TodayDay,S88,0))</f>
        <v>0</v>
      </c>
    </row>
    <row r="89" customFormat="false" ht="15" hidden="false" customHeight="false" outlineLevel="0" collapsed="false">
      <c r="A89" s="23"/>
      <c r="B89" s="23"/>
      <c r="C89" s="23"/>
      <c r="D89" s="56"/>
      <c r="E89" s="23"/>
      <c r="F89" s="23"/>
      <c r="G89" s="23"/>
      <c r="H89" s="23"/>
      <c r="I89" s="56"/>
      <c r="J89" s="23"/>
      <c r="K89" s="28"/>
      <c r="L89" s="23"/>
      <c r="M89" s="23"/>
      <c r="N89" s="25" t="str">
        <f aca="false">IF(A89="","",IF(LEFT(A89,3)="Pre",0,IFERROR(VALUE(MID(A89,5,FIND(" ",A89&amp;" ",5)-5)),"")))</f>
        <v/>
      </c>
      <c r="O89" s="57" t="str">
        <f aca="false">IF(N89="","",IF(N89=0,"Before trip",IF(TripStart="","",TripStart+N89-1)))</f>
        <v/>
      </c>
      <c r="P89" s="58" t="str">
        <f aca="false">IF(AND(D89="",I89=""),"",IF(OR(E89="",E89=HomeCcy),1,IFERROR(INDEX(Setup!$J$26:$J$33,MATCH(E89,Setup!$G$26:$G$33,0)),IFERROR(INDEX(Settings!$S$5:$S$64,MATCH(E89,Settings!$R$5:$R$64,0))/HomeINR,1))))</f>
        <v/>
      </c>
      <c r="Q89" s="34" t="str">
        <f aca="false">IF(D89="","",D89*P89)</f>
        <v/>
      </c>
      <c r="R89" s="34" t="str">
        <f aca="false">IF(I89="","",I89*P89)</f>
        <v/>
      </c>
      <c r="S89" s="33" t="n">
        <f aca="false">IF(H89="Cancelled",0,IF(R89&lt;&gt;"",R89,IF(Q89&lt;&gt;"",Q89,0)))</f>
        <v>0</v>
      </c>
      <c r="T89" s="45" t="str">
        <f aca="false">IF(S89=0,"",IF(SUM(AE89:AN89)=0,"⚠ nobody picked",COUNTIF(AE89:AN89,"&gt;0")&amp;" people"))</f>
        <v/>
      </c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60" t="n">
        <f aca="false">IF(OR($S89=0,Setup!$B$18=""),0,IF(OR($G89="",$G89="Everyone"),1,IF($G89="Custom",N(U89),IF(OR($G89=Setup!$B$18,AND(Setup!$C$18&lt;&gt;"",$G89=Setup!$C$18)),1,0))))</f>
        <v>0</v>
      </c>
      <c r="AF89" s="60" t="n">
        <f aca="false">IF(OR($S89=0,Setup!$B$19=""),0,IF(OR($G89="",$G89="Everyone"),1,IF($G89="Custom",N(V89),IF(OR($G89=Setup!$B$19,AND(Setup!$C$19&lt;&gt;"",$G89=Setup!$C$19)),1,0))))</f>
        <v>0</v>
      </c>
      <c r="AG89" s="60" t="n">
        <f aca="false">IF(OR($S89=0,Setup!$B$20=""),0,IF(OR($G89="",$G89="Everyone"),1,IF($G89="Custom",N(W89),IF(OR($G89=Setup!$B$20,AND(Setup!$C$20&lt;&gt;"",$G89=Setup!$C$20)),1,0))))</f>
        <v>0</v>
      </c>
      <c r="AH89" s="60" t="n">
        <f aca="false">IF(OR($S89=0,Setup!$B$21=""),0,IF(OR($G89="",$G89="Everyone"),1,IF($G89="Custom",N(X89),IF(OR($G89=Setup!$B$21,AND(Setup!$C$21&lt;&gt;"",$G89=Setup!$C$21)),1,0))))</f>
        <v>0</v>
      </c>
      <c r="AI89" s="60" t="n">
        <f aca="false">IF(OR($S89=0,Setup!$B$22=""),0,IF(OR($G89="",$G89="Everyone"),1,IF($G89="Custom",N(Y89),IF(OR($G89=Setup!$B$22,AND(Setup!$C$22&lt;&gt;"",$G89=Setup!$C$22)),1,0))))</f>
        <v>0</v>
      </c>
      <c r="AJ89" s="60" t="n">
        <f aca="false">IF(OR($S89=0,Setup!$B$23=""),0,IF(OR($G89="",$G89="Everyone"),1,IF($G89="Custom",N(Z89),IF(OR($G89=Setup!$B$23,AND(Setup!$C$23&lt;&gt;"",$G89=Setup!$C$23)),1,0))))</f>
        <v>0</v>
      </c>
      <c r="AK89" s="60" t="n">
        <f aca="false">IF(OR($S89=0,Setup!$B$24=""),0,IF(OR($G89="",$G89="Everyone"),1,IF($G89="Custom",N(AA89),IF(OR($G89=Setup!$B$24,AND(Setup!$C$24&lt;&gt;"",$G89=Setup!$C$24)),1,0))))</f>
        <v>0</v>
      </c>
      <c r="AL89" s="60" t="n">
        <f aca="false">IF(OR($S89=0,Setup!$B$25=""),0,IF(OR($G89="",$G89="Everyone"),1,IF($G89="Custom",N(AB89),IF(OR($G89=Setup!$B$25,AND(Setup!$C$25&lt;&gt;"",$G89=Setup!$C$25)),1,0))))</f>
        <v>0</v>
      </c>
      <c r="AM89" s="60" t="n">
        <f aca="false">IF(OR($S89=0,Setup!$B$26=""),0,IF(OR($G89="",$G89="Everyone"),1,IF($G89="Custom",N(AC89),IF(OR($G89=Setup!$B$26,AND(Setup!$C$26&lt;&gt;"",$G89=Setup!$C$26)),1,0))))</f>
        <v>0</v>
      </c>
      <c r="AN89" s="60" t="n">
        <f aca="false">IF(OR($S89=0,Setup!$B$27=""),0,IF(OR($G89="",$G89="Everyone"),1,IF($G89="Custom",N(AD89),IF(OR($G89=Setup!$B$27,AND(Setup!$C$27&lt;&gt;"",$G89=Setup!$C$27)),1,0))))</f>
        <v>0</v>
      </c>
      <c r="AO89" s="60" t="n">
        <f aca="false">IF(SUM(AE89:AN89)=0,1,SUM(AE89:AN89))</f>
        <v>1</v>
      </c>
      <c r="AP89" s="60" t="n">
        <f aca="false">IF(H89="Paid",1,0)</f>
        <v>0</v>
      </c>
      <c r="AQ89" s="60" t="n">
        <f aca="false">IF(AND(S89&gt;0,SUM(AE89:AN89)=0),S89,0)</f>
        <v>0</v>
      </c>
      <c r="AR89" s="60" t="str">
        <f aca="false">IF(AND(N89&lt;&gt;"",TodayDay&lt;&gt;"",N89=TodayDay),COUNTIF($N$6:N89,TodayDay),"")</f>
        <v/>
      </c>
      <c r="AS89" s="60" t="n">
        <f aca="false">IF(B89="",0,IF(COUNTIFS(Settings!$A$5:$A$29,B89,Settings!$B$5:$B$29,"Yes")&gt;0,1,0))</f>
        <v>0</v>
      </c>
      <c r="AT89" s="61" t="n">
        <f aca="false">IF(OR(N89="",TodayDay=""),IF(N89="",S89,0),IF(N89&lt;TodayDay,S89,0))</f>
        <v>0</v>
      </c>
    </row>
    <row r="90" customFormat="false" ht="15" hidden="false" customHeight="false" outlineLevel="0" collapsed="false">
      <c r="A90" s="23"/>
      <c r="B90" s="23"/>
      <c r="C90" s="23"/>
      <c r="D90" s="56"/>
      <c r="E90" s="23"/>
      <c r="F90" s="23"/>
      <c r="G90" s="23"/>
      <c r="H90" s="23"/>
      <c r="I90" s="56"/>
      <c r="J90" s="23"/>
      <c r="K90" s="28"/>
      <c r="L90" s="23"/>
      <c r="M90" s="23"/>
      <c r="N90" s="25" t="str">
        <f aca="false">IF(A90="","",IF(LEFT(A90,3)="Pre",0,IFERROR(VALUE(MID(A90,5,FIND(" ",A90&amp;" ",5)-5)),"")))</f>
        <v/>
      </c>
      <c r="O90" s="57" t="str">
        <f aca="false">IF(N90="","",IF(N90=0,"Before trip",IF(TripStart="","",TripStart+N90-1)))</f>
        <v/>
      </c>
      <c r="P90" s="58" t="str">
        <f aca="false">IF(AND(D90="",I90=""),"",IF(OR(E90="",E90=HomeCcy),1,IFERROR(INDEX(Setup!$J$26:$J$33,MATCH(E90,Setup!$G$26:$G$33,0)),IFERROR(INDEX(Settings!$S$5:$S$64,MATCH(E90,Settings!$R$5:$R$64,0))/HomeINR,1))))</f>
        <v/>
      </c>
      <c r="Q90" s="34" t="str">
        <f aca="false">IF(D90="","",D90*P90)</f>
        <v/>
      </c>
      <c r="R90" s="34" t="str">
        <f aca="false">IF(I90="","",I90*P90)</f>
        <v/>
      </c>
      <c r="S90" s="33" t="n">
        <f aca="false">IF(H90="Cancelled",0,IF(R90&lt;&gt;"",R90,IF(Q90&lt;&gt;"",Q90,0)))</f>
        <v>0</v>
      </c>
      <c r="T90" s="45" t="str">
        <f aca="false">IF(S90=0,"",IF(SUM(AE90:AN90)=0,"⚠ nobody picked",COUNTIF(AE90:AN90,"&gt;0")&amp;" people"))</f>
        <v/>
      </c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60" t="n">
        <f aca="false">IF(OR($S90=0,Setup!$B$18=""),0,IF(OR($G90="",$G90="Everyone"),1,IF($G90="Custom",N(U90),IF(OR($G90=Setup!$B$18,AND(Setup!$C$18&lt;&gt;"",$G90=Setup!$C$18)),1,0))))</f>
        <v>0</v>
      </c>
      <c r="AF90" s="60" t="n">
        <f aca="false">IF(OR($S90=0,Setup!$B$19=""),0,IF(OR($G90="",$G90="Everyone"),1,IF($G90="Custom",N(V90),IF(OR($G90=Setup!$B$19,AND(Setup!$C$19&lt;&gt;"",$G90=Setup!$C$19)),1,0))))</f>
        <v>0</v>
      </c>
      <c r="AG90" s="60" t="n">
        <f aca="false">IF(OR($S90=0,Setup!$B$20=""),0,IF(OR($G90="",$G90="Everyone"),1,IF($G90="Custom",N(W90),IF(OR($G90=Setup!$B$20,AND(Setup!$C$20&lt;&gt;"",$G90=Setup!$C$20)),1,0))))</f>
        <v>0</v>
      </c>
      <c r="AH90" s="60" t="n">
        <f aca="false">IF(OR($S90=0,Setup!$B$21=""),0,IF(OR($G90="",$G90="Everyone"),1,IF($G90="Custom",N(X90),IF(OR($G90=Setup!$B$21,AND(Setup!$C$21&lt;&gt;"",$G90=Setup!$C$21)),1,0))))</f>
        <v>0</v>
      </c>
      <c r="AI90" s="60" t="n">
        <f aca="false">IF(OR($S90=0,Setup!$B$22=""),0,IF(OR($G90="",$G90="Everyone"),1,IF($G90="Custom",N(Y90),IF(OR($G90=Setup!$B$22,AND(Setup!$C$22&lt;&gt;"",$G90=Setup!$C$22)),1,0))))</f>
        <v>0</v>
      </c>
      <c r="AJ90" s="60" t="n">
        <f aca="false">IF(OR($S90=0,Setup!$B$23=""),0,IF(OR($G90="",$G90="Everyone"),1,IF($G90="Custom",N(Z90),IF(OR($G90=Setup!$B$23,AND(Setup!$C$23&lt;&gt;"",$G90=Setup!$C$23)),1,0))))</f>
        <v>0</v>
      </c>
      <c r="AK90" s="60" t="n">
        <f aca="false">IF(OR($S90=0,Setup!$B$24=""),0,IF(OR($G90="",$G90="Everyone"),1,IF($G90="Custom",N(AA90),IF(OR($G90=Setup!$B$24,AND(Setup!$C$24&lt;&gt;"",$G90=Setup!$C$24)),1,0))))</f>
        <v>0</v>
      </c>
      <c r="AL90" s="60" t="n">
        <f aca="false">IF(OR($S90=0,Setup!$B$25=""),0,IF(OR($G90="",$G90="Everyone"),1,IF($G90="Custom",N(AB90),IF(OR($G90=Setup!$B$25,AND(Setup!$C$25&lt;&gt;"",$G90=Setup!$C$25)),1,0))))</f>
        <v>0</v>
      </c>
      <c r="AM90" s="60" t="n">
        <f aca="false">IF(OR($S90=0,Setup!$B$26=""),0,IF(OR($G90="",$G90="Everyone"),1,IF($G90="Custom",N(AC90),IF(OR($G90=Setup!$B$26,AND(Setup!$C$26&lt;&gt;"",$G90=Setup!$C$26)),1,0))))</f>
        <v>0</v>
      </c>
      <c r="AN90" s="60" t="n">
        <f aca="false">IF(OR($S90=0,Setup!$B$27=""),0,IF(OR($G90="",$G90="Everyone"),1,IF($G90="Custom",N(AD90),IF(OR($G90=Setup!$B$27,AND(Setup!$C$27&lt;&gt;"",$G90=Setup!$C$27)),1,0))))</f>
        <v>0</v>
      </c>
      <c r="AO90" s="60" t="n">
        <f aca="false">IF(SUM(AE90:AN90)=0,1,SUM(AE90:AN90))</f>
        <v>1</v>
      </c>
      <c r="AP90" s="60" t="n">
        <f aca="false">IF(H90="Paid",1,0)</f>
        <v>0</v>
      </c>
      <c r="AQ90" s="60" t="n">
        <f aca="false">IF(AND(S90&gt;0,SUM(AE90:AN90)=0),S90,0)</f>
        <v>0</v>
      </c>
      <c r="AR90" s="60" t="str">
        <f aca="false">IF(AND(N90&lt;&gt;"",TodayDay&lt;&gt;"",N90=TodayDay),COUNTIF($N$6:N90,TodayDay),"")</f>
        <v/>
      </c>
      <c r="AS90" s="60" t="n">
        <f aca="false">IF(B90="",0,IF(COUNTIFS(Settings!$A$5:$A$29,B90,Settings!$B$5:$B$29,"Yes")&gt;0,1,0))</f>
        <v>0</v>
      </c>
      <c r="AT90" s="61" t="n">
        <f aca="false">IF(OR(N90="",TodayDay=""),IF(N90="",S90,0),IF(N90&lt;TodayDay,S90,0))</f>
        <v>0</v>
      </c>
    </row>
    <row r="91" customFormat="false" ht="15" hidden="false" customHeight="false" outlineLevel="0" collapsed="false">
      <c r="A91" s="23"/>
      <c r="B91" s="23"/>
      <c r="C91" s="23"/>
      <c r="D91" s="56"/>
      <c r="E91" s="23"/>
      <c r="F91" s="23"/>
      <c r="G91" s="23"/>
      <c r="H91" s="23"/>
      <c r="I91" s="56"/>
      <c r="J91" s="23"/>
      <c r="K91" s="28"/>
      <c r="L91" s="23"/>
      <c r="M91" s="23"/>
      <c r="N91" s="25" t="str">
        <f aca="false">IF(A91="","",IF(LEFT(A91,3)="Pre",0,IFERROR(VALUE(MID(A91,5,FIND(" ",A91&amp;" ",5)-5)),"")))</f>
        <v/>
      </c>
      <c r="O91" s="57" t="str">
        <f aca="false">IF(N91="","",IF(N91=0,"Before trip",IF(TripStart="","",TripStart+N91-1)))</f>
        <v/>
      </c>
      <c r="P91" s="58" t="str">
        <f aca="false">IF(AND(D91="",I91=""),"",IF(OR(E91="",E91=HomeCcy),1,IFERROR(INDEX(Setup!$J$26:$J$33,MATCH(E91,Setup!$G$26:$G$33,0)),IFERROR(INDEX(Settings!$S$5:$S$64,MATCH(E91,Settings!$R$5:$R$64,0))/HomeINR,1))))</f>
        <v/>
      </c>
      <c r="Q91" s="34" t="str">
        <f aca="false">IF(D91="","",D91*P91)</f>
        <v/>
      </c>
      <c r="R91" s="34" t="str">
        <f aca="false">IF(I91="","",I91*P91)</f>
        <v/>
      </c>
      <c r="S91" s="33" t="n">
        <f aca="false">IF(H91="Cancelled",0,IF(R91&lt;&gt;"",R91,IF(Q91&lt;&gt;"",Q91,0)))</f>
        <v>0</v>
      </c>
      <c r="T91" s="45" t="str">
        <f aca="false">IF(S91=0,"",IF(SUM(AE91:AN91)=0,"⚠ nobody picked",COUNTIF(AE91:AN91,"&gt;0")&amp;" people"))</f>
        <v/>
      </c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60" t="n">
        <f aca="false">IF(OR($S91=0,Setup!$B$18=""),0,IF(OR($G91="",$G91="Everyone"),1,IF($G91="Custom",N(U91),IF(OR($G91=Setup!$B$18,AND(Setup!$C$18&lt;&gt;"",$G91=Setup!$C$18)),1,0))))</f>
        <v>0</v>
      </c>
      <c r="AF91" s="60" t="n">
        <f aca="false">IF(OR($S91=0,Setup!$B$19=""),0,IF(OR($G91="",$G91="Everyone"),1,IF($G91="Custom",N(V91),IF(OR($G91=Setup!$B$19,AND(Setup!$C$19&lt;&gt;"",$G91=Setup!$C$19)),1,0))))</f>
        <v>0</v>
      </c>
      <c r="AG91" s="60" t="n">
        <f aca="false">IF(OR($S91=0,Setup!$B$20=""),0,IF(OR($G91="",$G91="Everyone"),1,IF($G91="Custom",N(W91),IF(OR($G91=Setup!$B$20,AND(Setup!$C$20&lt;&gt;"",$G91=Setup!$C$20)),1,0))))</f>
        <v>0</v>
      </c>
      <c r="AH91" s="60" t="n">
        <f aca="false">IF(OR($S91=0,Setup!$B$21=""),0,IF(OR($G91="",$G91="Everyone"),1,IF($G91="Custom",N(X91),IF(OR($G91=Setup!$B$21,AND(Setup!$C$21&lt;&gt;"",$G91=Setup!$C$21)),1,0))))</f>
        <v>0</v>
      </c>
      <c r="AI91" s="60" t="n">
        <f aca="false">IF(OR($S91=0,Setup!$B$22=""),0,IF(OR($G91="",$G91="Everyone"),1,IF($G91="Custom",N(Y91),IF(OR($G91=Setup!$B$22,AND(Setup!$C$22&lt;&gt;"",$G91=Setup!$C$22)),1,0))))</f>
        <v>0</v>
      </c>
      <c r="AJ91" s="60" t="n">
        <f aca="false">IF(OR($S91=0,Setup!$B$23=""),0,IF(OR($G91="",$G91="Everyone"),1,IF($G91="Custom",N(Z91),IF(OR($G91=Setup!$B$23,AND(Setup!$C$23&lt;&gt;"",$G91=Setup!$C$23)),1,0))))</f>
        <v>0</v>
      </c>
      <c r="AK91" s="60" t="n">
        <f aca="false">IF(OR($S91=0,Setup!$B$24=""),0,IF(OR($G91="",$G91="Everyone"),1,IF($G91="Custom",N(AA91),IF(OR($G91=Setup!$B$24,AND(Setup!$C$24&lt;&gt;"",$G91=Setup!$C$24)),1,0))))</f>
        <v>0</v>
      </c>
      <c r="AL91" s="60" t="n">
        <f aca="false">IF(OR($S91=0,Setup!$B$25=""),0,IF(OR($G91="",$G91="Everyone"),1,IF($G91="Custom",N(AB91),IF(OR($G91=Setup!$B$25,AND(Setup!$C$25&lt;&gt;"",$G91=Setup!$C$25)),1,0))))</f>
        <v>0</v>
      </c>
      <c r="AM91" s="60" t="n">
        <f aca="false">IF(OR($S91=0,Setup!$B$26=""),0,IF(OR($G91="",$G91="Everyone"),1,IF($G91="Custom",N(AC91),IF(OR($G91=Setup!$B$26,AND(Setup!$C$26&lt;&gt;"",$G91=Setup!$C$26)),1,0))))</f>
        <v>0</v>
      </c>
      <c r="AN91" s="60" t="n">
        <f aca="false">IF(OR($S91=0,Setup!$B$27=""),0,IF(OR($G91="",$G91="Everyone"),1,IF($G91="Custom",N(AD91),IF(OR($G91=Setup!$B$27,AND(Setup!$C$27&lt;&gt;"",$G91=Setup!$C$27)),1,0))))</f>
        <v>0</v>
      </c>
      <c r="AO91" s="60" t="n">
        <f aca="false">IF(SUM(AE91:AN91)=0,1,SUM(AE91:AN91))</f>
        <v>1</v>
      </c>
      <c r="AP91" s="60" t="n">
        <f aca="false">IF(H91="Paid",1,0)</f>
        <v>0</v>
      </c>
      <c r="AQ91" s="60" t="n">
        <f aca="false">IF(AND(S91&gt;0,SUM(AE91:AN91)=0),S91,0)</f>
        <v>0</v>
      </c>
      <c r="AR91" s="60" t="str">
        <f aca="false">IF(AND(N91&lt;&gt;"",TodayDay&lt;&gt;"",N91=TodayDay),COUNTIF($N$6:N91,TodayDay),"")</f>
        <v/>
      </c>
      <c r="AS91" s="60" t="n">
        <f aca="false">IF(B91="",0,IF(COUNTIFS(Settings!$A$5:$A$29,B91,Settings!$B$5:$B$29,"Yes")&gt;0,1,0))</f>
        <v>0</v>
      </c>
      <c r="AT91" s="61" t="n">
        <f aca="false">IF(OR(N91="",TodayDay=""),IF(N91="",S91,0),IF(N91&lt;TodayDay,S91,0))</f>
        <v>0</v>
      </c>
    </row>
    <row r="92" customFormat="false" ht="15" hidden="false" customHeight="false" outlineLevel="0" collapsed="false">
      <c r="A92" s="23"/>
      <c r="B92" s="23"/>
      <c r="C92" s="23"/>
      <c r="D92" s="56"/>
      <c r="E92" s="23"/>
      <c r="F92" s="23"/>
      <c r="G92" s="23"/>
      <c r="H92" s="23"/>
      <c r="I92" s="56"/>
      <c r="J92" s="23"/>
      <c r="K92" s="28"/>
      <c r="L92" s="23"/>
      <c r="M92" s="23"/>
      <c r="N92" s="25" t="str">
        <f aca="false">IF(A92="","",IF(LEFT(A92,3)="Pre",0,IFERROR(VALUE(MID(A92,5,FIND(" ",A92&amp;" ",5)-5)),"")))</f>
        <v/>
      </c>
      <c r="O92" s="57" t="str">
        <f aca="false">IF(N92="","",IF(N92=0,"Before trip",IF(TripStart="","",TripStart+N92-1)))</f>
        <v/>
      </c>
      <c r="P92" s="58" t="str">
        <f aca="false">IF(AND(D92="",I92=""),"",IF(OR(E92="",E92=HomeCcy),1,IFERROR(INDEX(Setup!$J$26:$J$33,MATCH(E92,Setup!$G$26:$G$33,0)),IFERROR(INDEX(Settings!$S$5:$S$64,MATCH(E92,Settings!$R$5:$R$64,0))/HomeINR,1))))</f>
        <v/>
      </c>
      <c r="Q92" s="34" t="str">
        <f aca="false">IF(D92="","",D92*P92)</f>
        <v/>
      </c>
      <c r="R92" s="34" t="str">
        <f aca="false">IF(I92="","",I92*P92)</f>
        <v/>
      </c>
      <c r="S92" s="33" t="n">
        <f aca="false">IF(H92="Cancelled",0,IF(R92&lt;&gt;"",R92,IF(Q92&lt;&gt;"",Q92,0)))</f>
        <v>0</v>
      </c>
      <c r="T92" s="45" t="str">
        <f aca="false">IF(S92=0,"",IF(SUM(AE92:AN92)=0,"⚠ nobody picked",COUNTIF(AE92:AN92,"&gt;0")&amp;" people"))</f>
        <v/>
      </c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60" t="n">
        <f aca="false">IF(OR($S92=0,Setup!$B$18=""),0,IF(OR($G92="",$G92="Everyone"),1,IF($G92="Custom",N(U92),IF(OR($G92=Setup!$B$18,AND(Setup!$C$18&lt;&gt;"",$G92=Setup!$C$18)),1,0))))</f>
        <v>0</v>
      </c>
      <c r="AF92" s="60" t="n">
        <f aca="false">IF(OR($S92=0,Setup!$B$19=""),0,IF(OR($G92="",$G92="Everyone"),1,IF($G92="Custom",N(V92),IF(OR($G92=Setup!$B$19,AND(Setup!$C$19&lt;&gt;"",$G92=Setup!$C$19)),1,0))))</f>
        <v>0</v>
      </c>
      <c r="AG92" s="60" t="n">
        <f aca="false">IF(OR($S92=0,Setup!$B$20=""),0,IF(OR($G92="",$G92="Everyone"),1,IF($G92="Custom",N(W92),IF(OR($G92=Setup!$B$20,AND(Setup!$C$20&lt;&gt;"",$G92=Setup!$C$20)),1,0))))</f>
        <v>0</v>
      </c>
      <c r="AH92" s="60" t="n">
        <f aca="false">IF(OR($S92=0,Setup!$B$21=""),0,IF(OR($G92="",$G92="Everyone"),1,IF($G92="Custom",N(X92),IF(OR($G92=Setup!$B$21,AND(Setup!$C$21&lt;&gt;"",$G92=Setup!$C$21)),1,0))))</f>
        <v>0</v>
      </c>
      <c r="AI92" s="60" t="n">
        <f aca="false">IF(OR($S92=0,Setup!$B$22=""),0,IF(OR($G92="",$G92="Everyone"),1,IF($G92="Custom",N(Y92),IF(OR($G92=Setup!$B$22,AND(Setup!$C$22&lt;&gt;"",$G92=Setup!$C$22)),1,0))))</f>
        <v>0</v>
      </c>
      <c r="AJ92" s="60" t="n">
        <f aca="false">IF(OR($S92=0,Setup!$B$23=""),0,IF(OR($G92="",$G92="Everyone"),1,IF($G92="Custom",N(Z92),IF(OR($G92=Setup!$B$23,AND(Setup!$C$23&lt;&gt;"",$G92=Setup!$C$23)),1,0))))</f>
        <v>0</v>
      </c>
      <c r="AK92" s="60" t="n">
        <f aca="false">IF(OR($S92=0,Setup!$B$24=""),0,IF(OR($G92="",$G92="Everyone"),1,IF($G92="Custom",N(AA92),IF(OR($G92=Setup!$B$24,AND(Setup!$C$24&lt;&gt;"",$G92=Setup!$C$24)),1,0))))</f>
        <v>0</v>
      </c>
      <c r="AL92" s="60" t="n">
        <f aca="false">IF(OR($S92=0,Setup!$B$25=""),0,IF(OR($G92="",$G92="Everyone"),1,IF($G92="Custom",N(AB92),IF(OR($G92=Setup!$B$25,AND(Setup!$C$25&lt;&gt;"",$G92=Setup!$C$25)),1,0))))</f>
        <v>0</v>
      </c>
      <c r="AM92" s="60" t="n">
        <f aca="false">IF(OR($S92=0,Setup!$B$26=""),0,IF(OR($G92="",$G92="Everyone"),1,IF($G92="Custom",N(AC92),IF(OR($G92=Setup!$B$26,AND(Setup!$C$26&lt;&gt;"",$G92=Setup!$C$26)),1,0))))</f>
        <v>0</v>
      </c>
      <c r="AN92" s="60" t="n">
        <f aca="false">IF(OR($S92=0,Setup!$B$27=""),0,IF(OR($G92="",$G92="Everyone"),1,IF($G92="Custom",N(AD92),IF(OR($G92=Setup!$B$27,AND(Setup!$C$27&lt;&gt;"",$G92=Setup!$C$27)),1,0))))</f>
        <v>0</v>
      </c>
      <c r="AO92" s="60" t="n">
        <f aca="false">IF(SUM(AE92:AN92)=0,1,SUM(AE92:AN92))</f>
        <v>1</v>
      </c>
      <c r="AP92" s="60" t="n">
        <f aca="false">IF(H92="Paid",1,0)</f>
        <v>0</v>
      </c>
      <c r="AQ92" s="60" t="n">
        <f aca="false">IF(AND(S92&gt;0,SUM(AE92:AN92)=0),S92,0)</f>
        <v>0</v>
      </c>
      <c r="AR92" s="60" t="str">
        <f aca="false">IF(AND(N92&lt;&gt;"",TodayDay&lt;&gt;"",N92=TodayDay),COUNTIF($N$6:N92,TodayDay),"")</f>
        <v/>
      </c>
      <c r="AS92" s="60" t="n">
        <f aca="false">IF(B92="",0,IF(COUNTIFS(Settings!$A$5:$A$29,B92,Settings!$B$5:$B$29,"Yes")&gt;0,1,0))</f>
        <v>0</v>
      </c>
      <c r="AT92" s="61" t="n">
        <f aca="false">IF(OR(N92="",TodayDay=""),IF(N92="",S92,0),IF(N92&lt;TodayDay,S92,0))</f>
        <v>0</v>
      </c>
    </row>
    <row r="93" customFormat="false" ht="15" hidden="false" customHeight="false" outlineLevel="0" collapsed="false">
      <c r="A93" s="23"/>
      <c r="B93" s="23"/>
      <c r="C93" s="23"/>
      <c r="D93" s="56"/>
      <c r="E93" s="23"/>
      <c r="F93" s="23"/>
      <c r="G93" s="23"/>
      <c r="H93" s="23"/>
      <c r="I93" s="56"/>
      <c r="J93" s="23"/>
      <c r="K93" s="28"/>
      <c r="L93" s="23"/>
      <c r="M93" s="23"/>
      <c r="N93" s="25" t="str">
        <f aca="false">IF(A93="","",IF(LEFT(A93,3)="Pre",0,IFERROR(VALUE(MID(A93,5,FIND(" ",A93&amp;" ",5)-5)),"")))</f>
        <v/>
      </c>
      <c r="O93" s="57" t="str">
        <f aca="false">IF(N93="","",IF(N93=0,"Before trip",IF(TripStart="","",TripStart+N93-1)))</f>
        <v/>
      </c>
      <c r="P93" s="58" t="str">
        <f aca="false">IF(AND(D93="",I93=""),"",IF(OR(E93="",E93=HomeCcy),1,IFERROR(INDEX(Setup!$J$26:$J$33,MATCH(E93,Setup!$G$26:$G$33,0)),IFERROR(INDEX(Settings!$S$5:$S$64,MATCH(E93,Settings!$R$5:$R$64,0))/HomeINR,1))))</f>
        <v/>
      </c>
      <c r="Q93" s="34" t="str">
        <f aca="false">IF(D93="","",D93*P93)</f>
        <v/>
      </c>
      <c r="R93" s="34" t="str">
        <f aca="false">IF(I93="","",I93*P93)</f>
        <v/>
      </c>
      <c r="S93" s="33" t="n">
        <f aca="false">IF(H93="Cancelled",0,IF(R93&lt;&gt;"",R93,IF(Q93&lt;&gt;"",Q93,0)))</f>
        <v>0</v>
      </c>
      <c r="T93" s="45" t="str">
        <f aca="false">IF(S93=0,"",IF(SUM(AE93:AN93)=0,"⚠ nobody picked",COUNTIF(AE93:AN93,"&gt;0")&amp;" people"))</f>
        <v/>
      </c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60" t="n">
        <f aca="false">IF(OR($S93=0,Setup!$B$18=""),0,IF(OR($G93="",$G93="Everyone"),1,IF($G93="Custom",N(U93),IF(OR($G93=Setup!$B$18,AND(Setup!$C$18&lt;&gt;"",$G93=Setup!$C$18)),1,0))))</f>
        <v>0</v>
      </c>
      <c r="AF93" s="60" t="n">
        <f aca="false">IF(OR($S93=0,Setup!$B$19=""),0,IF(OR($G93="",$G93="Everyone"),1,IF($G93="Custom",N(V93),IF(OR($G93=Setup!$B$19,AND(Setup!$C$19&lt;&gt;"",$G93=Setup!$C$19)),1,0))))</f>
        <v>0</v>
      </c>
      <c r="AG93" s="60" t="n">
        <f aca="false">IF(OR($S93=0,Setup!$B$20=""),0,IF(OR($G93="",$G93="Everyone"),1,IF($G93="Custom",N(W93),IF(OR($G93=Setup!$B$20,AND(Setup!$C$20&lt;&gt;"",$G93=Setup!$C$20)),1,0))))</f>
        <v>0</v>
      </c>
      <c r="AH93" s="60" t="n">
        <f aca="false">IF(OR($S93=0,Setup!$B$21=""),0,IF(OR($G93="",$G93="Everyone"),1,IF($G93="Custom",N(X93),IF(OR($G93=Setup!$B$21,AND(Setup!$C$21&lt;&gt;"",$G93=Setup!$C$21)),1,0))))</f>
        <v>0</v>
      </c>
      <c r="AI93" s="60" t="n">
        <f aca="false">IF(OR($S93=0,Setup!$B$22=""),0,IF(OR($G93="",$G93="Everyone"),1,IF($G93="Custom",N(Y93),IF(OR($G93=Setup!$B$22,AND(Setup!$C$22&lt;&gt;"",$G93=Setup!$C$22)),1,0))))</f>
        <v>0</v>
      </c>
      <c r="AJ93" s="60" t="n">
        <f aca="false">IF(OR($S93=0,Setup!$B$23=""),0,IF(OR($G93="",$G93="Everyone"),1,IF($G93="Custom",N(Z93),IF(OR($G93=Setup!$B$23,AND(Setup!$C$23&lt;&gt;"",$G93=Setup!$C$23)),1,0))))</f>
        <v>0</v>
      </c>
      <c r="AK93" s="60" t="n">
        <f aca="false">IF(OR($S93=0,Setup!$B$24=""),0,IF(OR($G93="",$G93="Everyone"),1,IF($G93="Custom",N(AA93),IF(OR($G93=Setup!$B$24,AND(Setup!$C$24&lt;&gt;"",$G93=Setup!$C$24)),1,0))))</f>
        <v>0</v>
      </c>
      <c r="AL93" s="60" t="n">
        <f aca="false">IF(OR($S93=0,Setup!$B$25=""),0,IF(OR($G93="",$G93="Everyone"),1,IF($G93="Custom",N(AB93),IF(OR($G93=Setup!$B$25,AND(Setup!$C$25&lt;&gt;"",$G93=Setup!$C$25)),1,0))))</f>
        <v>0</v>
      </c>
      <c r="AM93" s="60" t="n">
        <f aca="false">IF(OR($S93=0,Setup!$B$26=""),0,IF(OR($G93="",$G93="Everyone"),1,IF($G93="Custom",N(AC93),IF(OR($G93=Setup!$B$26,AND(Setup!$C$26&lt;&gt;"",$G93=Setup!$C$26)),1,0))))</f>
        <v>0</v>
      </c>
      <c r="AN93" s="60" t="n">
        <f aca="false">IF(OR($S93=0,Setup!$B$27=""),0,IF(OR($G93="",$G93="Everyone"),1,IF($G93="Custom",N(AD93),IF(OR($G93=Setup!$B$27,AND(Setup!$C$27&lt;&gt;"",$G93=Setup!$C$27)),1,0))))</f>
        <v>0</v>
      </c>
      <c r="AO93" s="60" t="n">
        <f aca="false">IF(SUM(AE93:AN93)=0,1,SUM(AE93:AN93))</f>
        <v>1</v>
      </c>
      <c r="AP93" s="60" t="n">
        <f aca="false">IF(H93="Paid",1,0)</f>
        <v>0</v>
      </c>
      <c r="AQ93" s="60" t="n">
        <f aca="false">IF(AND(S93&gt;0,SUM(AE93:AN93)=0),S93,0)</f>
        <v>0</v>
      </c>
      <c r="AR93" s="60" t="str">
        <f aca="false">IF(AND(N93&lt;&gt;"",TodayDay&lt;&gt;"",N93=TodayDay),COUNTIF($N$6:N93,TodayDay),"")</f>
        <v/>
      </c>
      <c r="AS93" s="60" t="n">
        <f aca="false">IF(B93="",0,IF(COUNTIFS(Settings!$A$5:$A$29,B93,Settings!$B$5:$B$29,"Yes")&gt;0,1,0))</f>
        <v>0</v>
      </c>
      <c r="AT93" s="61" t="n">
        <f aca="false">IF(OR(N93="",TodayDay=""),IF(N93="",S93,0),IF(N93&lt;TodayDay,S93,0))</f>
        <v>0</v>
      </c>
    </row>
    <row r="94" customFormat="false" ht="15" hidden="false" customHeight="false" outlineLevel="0" collapsed="false">
      <c r="A94" s="23"/>
      <c r="B94" s="23"/>
      <c r="C94" s="23"/>
      <c r="D94" s="56"/>
      <c r="E94" s="23"/>
      <c r="F94" s="23"/>
      <c r="G94" s="23"/>
      <c r="H94" s="23"/>
      <c r="I94" s="56"/>
      <c r="J94" s="23"/>
      <c r="K94" s="28"/>
      <c r="L94" s="23"/>
      <c r="M94" s="23"/>
      <c r="N94" s="25" t="str">
        <f aca="false">IF(A94="","",IF(LEFT(A94,3)="Pre",0,IFERROR(VALUE(MID(A94,5,FIND(" ",A94&amp;" ",5)-5)),"")))</f>
        <v/>
      </c>
      <c r="O94" s="57" t="str">
        <f aca="false">IF(N94="","",IF(N94=0,"Before trip",IF(TripStart="","",TripStart+N94-1)))</f>
        <v/>
      </c>
      <c r="P94" s="58" t="str">
        <f aca="false">IF(AND(D94="",I94=""),"",IF(OR(E94="",E94=HomeCcy),1,IFERROR(INDEX(Setup!$J$26:$J$33,MATCH(E94,Setup!$G$26:$G$33,0)),IFERROR(INDEX(Settings!$S$5:$S$64,MATCH(E94,Settings!$R$5:$R$64,0))/HomeINR,1))))</f>
        <v/>
      </c>
      <c r="Q94" s="34" t="str">
        <f aca="false">IF(D94="","",D94*P94)</f>
        <v/>
      </c>
      <c r="R94" s="34" t="str">
        <f aca="false">IF(I94="","",I94*P94)</f>
        <v/>
      </c>
      <c r="S94" s="33" t="n">
        <f aca="false">IF(H94="Cancelled",0,IF(R94&lt;&gt;"",R94,IF(Q94&lt;&gt;"",Q94,0)))</f>
        <v>0</v>
      </c>
      <c r="T94" s="45" t="str">
        <f aca="false">IF(S94=0,"",IF(SUM(AE94:AN94)=0,"⚠ nobody picked",COUNTIF(AE94:AN94,"&gt;0")&amp;" people"))</f>
        <v/>
      </c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60" t="n">
        <f aca="false">IF(OR($S94=0,Setup!$B$18=""),0,IF(OR($G94="",$G94="Everyone"),1,IF($G94="Custom",N(U94),IF(OR($G94=Setup!$B$18,AND(Setup!$C$18&lt;&gt;"",$G94=Setup!$C$18)),1,0))))</f>
        <v>0</v>
      </c>
      <c r="AF94" s="60" t="n">
        <f aca="false">IF(OR($S94=0,Setup!$B$19=""),0,IF(OR($G94="",$G94="Everyone"),1,IF($G94="Custom",N(V94),IF(OR($G94=Setup!$B$19,AND(Setup!$C$19&lt;&gt;"",$G94=Setup!$C$19)),1,0))))</f>
        <v>0</v>
      </c>
      <c r="AG94" s="60" t="n">
        <f aca="false">IF(OR($S94=0,Setup!$B$20=""),0,IF(OR($G94="",$G94="Everyone"),1,IF($G94="Custom",N(W94),IF(OR($G94=Setup!$B$20,AND(Setup!$C$20&lt;&gt;"",$G94=Setup!$C$20)),1,0))))</f>
        <v>0</v>
      </c>
      <c r="AH94" s="60" t="n">
        <f aca="false">IF(OR($S94=0,Setup!$B$21=""),0,IF(OR($G94="",$G94="Everyone"),1,IF($G94="Custom",N(X94),IF(OR($G94=Setup!$B$21,AND(Setup!$C$21&lt;&gt;"",$G94=Setup!$C$21)),1,0))))</f>
        <v>0</v>
      </c>
      <c r="AI94" s="60" t="n">
        <f aca="false">IF(OR($S94=0,Setup!$B$22=""),0,IF(OR($G94="",$G94="Everyone"),1,IF($G94="Custom",N(Y94),IF(OR($G94=Setup!$B$22,AND(Setup!$C$22&lt;&gt;"",$G94=Setup!$C$22)),1,0))))</f>
        <v>0</v>
      </c>
      <c r="AJ94" s="60" t="n">
        <f aca="false">IF(OR($S94=0,Setup!$B$23=""),0,IF(OR($G94="",$G94="Everyone"),1,IF($G94="Custom",N(Z94),IF(OR($G94=Setup!$B$23,AND(Setup!$C$23&lt;&gt;"",$G94=Setup!$C$23)),1,0))))</f>
        <v>0</v>
      </c>
      <c r="AK94" s="60" t="n">
        <f aca="false">IF(OR($S94=0,Setup!$B$24=""),0,IF(OR($G94="",$G94="Everyone"),1,IF($G94="Custom",N(AA94),IF(OR($G94=Setup!$B$24,AND(Setup!$C$24&lt;&gt;"",$G94=Setup!$C$24)),1,0))))</f>
        <v>0</v>
      </c>
      <c r="AL94" s="60" t="n">
        <f aca="false">IF(OR($S94=0,Setup!$B$25=""),0,IF(OR($G94="",$G94="Everyone"),1,IF($G94="Custom",N(AB94),IF(OR($G94=Setup!$B$25,AND(Setup!$C$25&lt;&gt;"",$G94=Setup!$C$25)),1,0))))</f>
        <v>0</v>
      </c>
      <c r="AM94" s="60" t="n">
        <f aca="false">IF(OR($S94=0,Setup!$B$26=""),0,IF(OR($G94="",$G94="Everyone"),1,IF($G94="Custom",N(AC94),IF(OR($G94=Setup!$B$26,AND(Setup!$C$26&lt;&gt;"",$G94=Setup!$C$26)),1,0))))</f>
        <v>0</v>
      </c>
      <c r="AN94" s="60" t="n">
        <f aca="false">IF(OR($S94=0,Setup!$B$27=""),0,IF(OR($G94="",$G94="Everyone"),1,IF($G94="Custom",N(AD94),IF(OR($G94=Setup!$B$27,AND(Setup!$C$27&lt;&gt;"",$G94=Setup!$C$27)),1,0))))</f>
        <v>0</v>
      </c>
      <c r="AO94" s="60" t="n">
        <f aca="false">IF(SUM(AE94:AN94)=0,1,SUM(AE94:AN94))</f>
        <v>1</v>
      </c>
      <c r="AP94" s="60" t="n">
        <f aca="false">IF(H94="Paid",1,0)</f>
        <v>0</v>
      </c>
      <c r="AQ94" s="60" t="n">
        <f aca="false">IF(AND(S94&gt;0,SUM(AE94:AN94)=0),S94,0)</f>
        <v>0</v>
      </c>
      <c r="AR94" s="60" t="str">
        <f aca="false">IF(AND(N94&lt;&gt;"",TodayDay&lt;&gt;"",N94=TodayDay),COUNTIF($N$6:N94,TodayDay),"")</f>
        <v/>
      </c>
      <c r="AS94" s="60" t="n">
        <f aca="false">IF(B94="",0,IF(COUNTIFS(Settings!$A$5:$A$29,B94,Settings!$B$5:$B$29,"Yes")&gt;0,1,0))</f>
        <v>0</v>
      </c>
      <c r="AT94" s="61" t="n">
        <f aca="false">IF(OR(N94="",TodayDay=""),IF(N94="",S94,0),IF(N94&lt;TodayDay,S94,0))</f>
        <v>0</v>
      </c>
    </row>
    <row r="95" customFormat="false" ht="15" hidden="false" customHeight="false" outlineLevel="0" collapsed="false">
      <c r="A95" s="23"/>
      <c r="B95" s="23"/>
      <c r="C95" s="23"/>
      <c r="D95" s="56"/>
      <c r="E95" s="23"/>
      <c r="F95" s="23"/>
      <c r="G95" s="23"/>
      <c r="H95" s="23"/>
      <c r="I95" s="56"/>
      <c r="J95" s="23"/>
      <c r="K95" s="28"/>
      <c r="L95" s="23"/>
      <c r="M95" s="23"/>
      <c r="N95" s="25" t="str">
        <f aca="false">IF(A95="","",IF(LEFT(A95,3)="Pre",0,IFERROR(VALUE(MID(A95,5,FIND(" ",A95&amp;" ",5)-5)),"")))</f>
        <v/>
      </c>
      <c r="O95" s="57" t="str">
        <f aca="false">IF(N95="","",IF(N95=0,"Before trip",IF(TripStart="","",TripStart+N95-1)))</f>
        <v/>
      </c>
      <c r="P95" s="58" t="str">
        <f aca="false">IF(AND(D95="",I95=""),"",IF(OR(E95="",E95=HomeCcy),1,IFERROR(INDEX(Setup!$J$26:$J$33,MATCH(E95,Setup!$G$26:$G$33,0)),IFERROR(INDEX(Settings!$S$5:$S$64,MATCH(E95,Settings!$R$5:$R$64,0))/HomeINR,1))))</f>
        <v/>
      </c>
      <c r="Q95" s="34" t="str">
        <f aca="false">IF(D95="","",D95*P95)</f>
        <v/>
      </c>
      <c r="R95" s="34" t="str">
        <f aca="false">IF(I95="","",I95*P95)</f>
        <v/>
      </c>
      <c r="S95" s="33" t="n">
        <f aca="false">IF(H95="Cancelled",0,IF(R95&lt;&gt;"",R95,IF(Q95&lt;&gt;"",Q95,0)))</f>
        <v>0</v>
      </c>
      <c r="T95" s="45" t="str">
        <f aca="false">IF(S95=0,"",IF(SUM(AE95:AN95)=0,"⚠ nobody picked",COUNTIF(AE95:AN95,"&gt;0")&amp;" people"))</f>
        <v/>
      </c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60" t="n">
        <f aca="false">IF(OR($S95=0,Setup!$B$18=""),0,IF(OR($G95="",$G95="Everyone"),1,IF($G95="Custom",N(U95),IF(OR($G95=Setup!$B$18,AND(Setup!$C$18&lt;&gt;"",$G95=Setup!$C$18)),1,0))))</f>
        <v>0</v>
      </c>
      <c r="AF95" s="60" t="n">
        <f aca="false">IF(OR($S95=0,Setup!$B$19=""),0,IF(OR($G95="",$G95="Everyone"),1,IF($G95="Custom",N(V95),IF(OR($G95=Setup!$B$19,AND(Setup!$C$19&lt;&gt;"",$G95=Setup!$C$19)),1,0))))</f>
        <v>0</v>
      </c>
      <c r="AG95" s="60" t="n">
        <f aca="false">IF(OR($S95=0,Setup!$B$20=""),0,IF(OR($G95="",$G95="Everyone"),1,IF($G95="Custom",N(W95),IF(OR($G95=Setup!$B$20,AND(Setup!$C$20&lt;&gt;"",$G95=Setup!$C$20)),1,0))))</f>
        <v>0</v>
      </c>
      <c r="AH95" s="60" t="n">
        <f aca="false">IF(OR($S95=0,Setup!$B$21=""),0,IF(OR($G95="",$G95="Everyone"),1,IF($G95="Custom",N(X95),IF(OR($G95=Setup!$B$21,AND(Setup!$C$21&lt;&gt;"",$G95=Setup!$C$21)),1,0))))</f>
        <v>0</v>
      </c>
      <c r="AI95" s="60" t="n">
        <f aca="false">IF(OR($S95=0,Setup!$B$22=""),0,IF(OR($G95="",$G95="Everyone"),1,IF($G95="Custom",N(Y95),IF(OR($G95=Setup!$B$22,AND(Setup!$C$22&lt;&gt;"",$G95=Setup!$C$22)),1,0))))</f>
        <v>0</v>
      </c>
      <c r="AJ95" s="60" t="n">
        <f aca="false">IF(OR($S95=0,Setup!$B$23=""),0,IF(OR($G95="",$G95="Everyone"),1,IF($G95="Custom",N(Z95),IF(OR($G95=Setup!$B$23,AND(Setup!$C$23&lt;&gt;"",$G95=Setup!$C$23)),1,0))))</f>
        <v>0</v>
      </c>
      <c r="AK95" s="60" t="n">
        <f aca="false">IF(OR($S95=0,Setup!$B$24=""),0,IF(OR($G95="",$G95="Everyone"),1,IF($G95="Custom",N(AA95),IF(OR($G95=Setup!$B$24,AND(Setup!$C$24&lt;&gt;"",$G95=Setup!$C$24)),1,0))))</f>
        <v>0</v>
      </c>
      <c r="AL95" s="60" t="n">
        <f aca="false">IF(OR($S95=0,Setup!$B$25=""),0,IF(OR($G95="",$G95="Everyone"),1,IF($G95="Custom",N(AB95),IF(OR($G95=Setup!$B$25,AND(Setup!$C$25&lt;&gt;"",$G95=Setup!$C$25)),1,0))))</f>
        <v>0</v>
      </c>
      <c r="AM95" s="60" t="n">
        <f aca="false">IF(OR($S95=0,Setup!$B$26=""),0,IF(OR($G95="",$G95="Everyone"),1,IF($G95="Custom",N(AC95),IF(OR($G95=Setup!$B$26,AND(Setup!$C$26&lt;&gt;"",$G95=Setup!$C$26)),1,0))))</f>
        <v>0</v>
      </c>
      <c r="AN95" s="60" t="n">
        <f aca="false">IF(OR($S95=0,Setup!$B$27=""),0,IF(OR($G95="",$G95="Everyone"),1,IF($G95="Custom",N(AD95),IF(OR($G95=Setup!$B$27,AND(Setup!$C$27&lt;&gt;"",$G95=Setup!$C$27)),1,0))))</f>
        <v>0</v>
      </c>
      <c r="AO95" s="60" t="n">
        <f aca="false">IF(SUM(AE95:AN95)=0,1,SUM(AE95:AN95))</f>
        <v>1</v>
      </c>
      <c r="AP95" s="60" t="n">
        <f aca="false">IF(H95="Paid",1,0)</f>
        <v>0</v>
      </c>
      <c r="AQ95" s="60" t="n">
        <f aca="false">IF(AND(S95&gt;0,SUM(AE95:AN95)=0),S95,0)</f>
        <v>0</v>
      </c>
      <c r="AR95" s="60" t="str">
        <f aca="false">IF(AND(N95&lt;&gt;"",TodayDay&lt;&gt;"",N95=TodayDay),COUNTIF($N$6:N95,TodayDay),"")</f>
        <v/>
      </c>
      <c r="AS95" s="60" t="n">
        <f aca="false">IF(B95="",0,IF(COUNTIFS(Settings!$A$5:$A$29,B95,Settings!$B$5:$B$29,"Yes")&gt;0,1,0))</f>
        <v>0</v>
      </c>
      <c r="AT95" s="61" t="n">
        <f aca="false">IF(OR(N95="",TodayDay=""),IF(N95="",S95,0),IF(N95&lt;TodayDay,S95,0))</f>
        <v>0</v>
      </c>
    </row>
    <row r="96" customFormat="false" ht="15" hidden="false" customHeight="false" outlineLevel="0" collapsed="false">
      <c r="A96" s="23"/>
      <c r="B96" s="23"/>
      <c r="C96" s="23"/>
      <c r="D96" s="56"/>
      <c r="E96" s="23"/>
      <c r="F96" s="23"/>
      <c r="G96" s="23"/>
      <c r="H96" s="23"/>
      <c r="I96" s="56"/>
      <c r="J96" s="23"/>
      <c r="K96" s="28"/>
      <c r="L96" s="23"/>
      <c r="M96" s="23"/>
      <c r="N96" s="25" t="str">
        <f aca="false">IF(A96="","",IF(LEFT(A96,3)="Pre",0,IFERROR(VALUE(MID(A96,5,FIND(" ",A96&amp;" ",5)-5)),"")))</f>
        <v/>
      </c>
      <c r="O96" s="57" t="str">
        <f aca="false">IF(N96="","",IF(N96=0,"Before trip",IF(TripStart="","",TripStart+N96-1)))</f>
        <v/>
      </c>
      <c r="P96" s="58" t="str">
        <f aca="false">IF(AND(D96="",I96=""),"",IF(OR(E96="",E96=HomeCcy),1,IFERROR(INDEX(Setup!$J$26:$J$33,MATCH(E96,Setup!$G$26:$G$33,0)),IFERROR(INDEX(Settings!$S$5:$S$64,MATCH(E96,Settings!$R$5:$R$64,0))/HomeINR,1))))</f>
        <v/>
      </c>
      <c r="Q96" s="34" t="str">
        <f aca="false">IF(D96="","",D96*P96)</f>
        <v/>
      </c>
      <c r="R96" s="34" t="str">
        <f aca="false">IF(I96="","",I96*P96)</f>
        <v/>
      </c>
      <c r="S96" s="33" t="n">
        <f aca="false">IF(H96="Cancelled",0,IF(R96&lt;&gt;"",R96,IF(Q96&lt;&gt;"",Q96,0)))</f>
        <v>0</v>
      </c>
      <c r="T96" s="45" t="str">
        <f aca="false">IF(S96=0,"",IF(SUM(AE96:AN96)=0,"⚠ nobody picked",COUNTIF(AE96:AN96,"&gt;0")&amp;" people"))</f>
        <v/>
      </c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60" t="n">
        <f aca="false">IF(OR($S96=0,Setup!$B$18=""),0,IF(OR($G96="",$G96="Everyone"),1,IF($G96="Custom",N(U96),IF(OR($G96=Setup!$B$18,AND(Setup!$C$18&lt;&gt;"",$G96=Setup!$C$18)),1,0))))</f>
        <v>0</v>
      </c>
      <c r="AF96" s="60" t="n">
        <f aca="false">IF(OR($S96=0,Setup!$B$19=""),0,IF(OR($G96="",$G96="Everyone"),1,IF($G96="Custom",N(V96),IF(OR($G96=Setup!$B$19,AND(Setup!$C$19&lt;&gt;"",$G96=Setup!$C$19)),1,0))))</f>
        <v>0</v>
      </c>
      <c r="AG96" s="60" t="n">
        <f aca="false">IF(OR($S96=0,Setup!$B$20=""),0,IF(OR($G96="",$G96="Everyone"),1,IF($G96="Custom",N(W96),IF(OR($G96=Setup!$B$20,AND(Setup!$C$20&lt;&gt;"",$G96=Setup!$C$20)),1,0))))</f>
        <v>0</v>
      </c>
      <c r="AH96" s="60" t="n">
        <f aca="false">IF(OR($S96=0,Setup!$B$21=""),0,IF(OR($G96="",$G96="Everyone"),1,IF($G96="Custom",N(X96),IF(OR($G96=Setup!$B$21,AND(Setup!$C$21&lt;&gt;"",$G96=Setup!$C$21)),1,0))))</f>
        <v>0</v>
      </c>
      <c r="AI96" s="60" t="n">
        <f aca="false">IF(OR($S96=0,Setup!$B$22=""),0,IF(OR($G96="",$G96="Everyone"),1,IF($G96="Custom",N(Y96),IF(OR($G96=Setup!$B$22,AND(Setup!$C$22&lt;&gt;"",$G96=Setup!$C$22)),1,0))))</f>
        <v>0</v>
      </c>
      <c r="AJ96" s="60" t="n">
        <f aca="false">IF(OR($S96=0,Setup!$B$23=""),0,IF(OR($G96="",$G96="Everyone"),1,IF($G96="Custom",N(Z96),IF(OR($G96=Setup!$B$23,AND(Setup!$C$23&lt;&gt;"",$G96=Setup!$C$23)),1,0))))</f>
        <v>0</v>
      </c>
      <c r="AK96" s="60" t="n">
        <f aca="false">IF(OR($S96=0,Setup!$B$24=""),0,IF(OR($G96="",$G96="Everyone"),1,IF($G96="Custom",N(AA96),IF(OR($G96=Setup!$B$24,AND(Setup!$C$24&lt;&gt;"",$G96=Setup!$C$24)),1,0))))</f>
        <v>0</v>
      </c>
      <c r="AL96" s="60" t="n">
        <f aca="false">IF(OR($S96=0,Setup!$B$25=""),0,IF(OR($G96="",$G96="Everyone"),1,IF($G96="Custom",N(AB96),IF(OR($G96=Setup!$B$25,AND(Setup!$C$25&lt;&gt;"",$G96=Setup!$C$25)),1,0))))</f>
        <v>0</v>
      </c>
      <c r="AM96" s="60" t="n">
        <f aca="false">IF(OR($S96=0,Setup!$B$26=""),0,IF(OR($G96="",$G96="Everyone"),1,IF($G96="Custom",N(AC96),IF(OR($G96=Setup!$B$26,AND(Setup!$C$26&lt;&gt;"",$G96=Setup!$C$26)),1,0))))</f>
        <v>0</v>
      </c>
      <c r="AN96" s="60" t="n">
        <f aca="false">IF(OR($S96=0,Setup!$B$27=""),0,IF(OR($G96="",$G96="Everyone"),1,IF($G96="Custom",N(AD96),IF(OR($G96=Setup!$B$27,AND(Setup!$C$27&lt;&gt;"",$G96=Setup!$C$27)),1,0))))</f>
        <v>0</v>
      </c>
      <c r="AO96" s="60" t="n">
        <f aca="false">IF(SUM(AE96:AN96)=0,1,SUM(AE96:AN96))</f>
        <v>1</v>
      </c>
      <c r="AP96" s="60" t="n">
        <f aca="false">IF(H96="Paid",1,0)</f>
        <v>0</v>
      </c>
      <c r="AQ96" s="60" t="n">
        <f aca="false">IF(AND(S96&gt;0,SUM(AE96:AN96)=0),S96,0)</f>
        <v>0</v>
      </c>
      <c r="AR96" s="60" t="str">
        <f aca="false">IF(AND(N96&lt;&gt;"",TodayDay&lt;&gt;"",N96=TodayDay),COUNTIF($N$6:N96,TodayDay),"")</f>
        <v/>
      </c>
      <c r="AS96" s="60" t="n">
        <f aca="false">IF(B96="",0,IF(COUNTIFS(Settings!$A$5:$A$29,B96,Settings!$B$5:$B$29,"Yes")&gt;0,1,0))</f>
        <v>0</v>
      </c>
      <c r="AT96" s="61" t="n">
        <f aca="false">IF(OR(N96="",TodayDay=""),IF(N96="",S96,0),IF(N96&lt;TodayDay,S96,0))</f>
        <v>0</v>
      </c>
    </row>
    <row r="97" customFormat="false" ht="15" hidden="false" customHeight="false" outlineLevel="0" collapsed="false">
      <c r="A97" s="23"/>
      <c r="B97" s="23"/>
      <c r="C97" s="23"/>
      <c r="D97" s="56"/>
      <c r="E97" s="23"/>
      <c r="F97" s="23"/>
      <c r="G97" s="23"/>
      <c r="H97" s="23"/>
      <c r="I97" s="56"/>
      <c r="J97" s="23"/>
      <c r="K97" s="28"/>
      <c r="L97" s="23"/>
      <c r="M97" s="23"/>
      <c r="N97" s="25" t="str">
        <f aca="false">IF(A97="","",IF(LEFT(A97,3)="Pre",0,IFERROR(VALUE(MID(A97,5,FIND(" ",A97&amp;" ",5)-5)),"")))</f>
        <v/>
      </c>
      <c r="O97" s="57" t="str">
        <f aca="false">IF(N97="","",IF(N97=0,"Before trip",IF(TripStart="","",TripStart+N97-1)))</f>
        <v/>
      </c>
      <c r="P97" s="58" t="str">
        <f aca="false">IF(AND(D97="",I97=""),"",IF(OR(E97="",E97=HomeCcy),1,IFERROR(INDEX(Setup!$J$26:$J$33,MATCH(E97,Setup!$G$26:$G$33,0)),IFERROR(INDEX(Settings!$S$5:$S$64,MATCH(E97,Settings!$R$5:$R$64,0))/HomeINR,1))))</f>
        <v/>
      </c>
      <c r="Q97" s="34" t="str">
        <f aca="false">IF(D97="","",D97*P97)</f>
        <v/>
      </c>
      <c r="R97" s="34" t="str">
        <f aca="false">IF(I97="","",I97*P97)</f>
        <v/>
      </c>
      <c r="S97" s="33" t="n">
        <f aca="false">IF(H97="Cancelled",0,IF(R97&lt;&gt;"",R97,IF(Q97&lt;&gt;"",Q97,0)))</f>
        <v>0</v>
      </c>
      <c r="T97" s="45" t="str">
        <f aca="false">IF(S97=0,"",IF(SUM(AE97:AN97)=0,"⚠ nobody picked",COUNTIF(AE97:AN97,"&gt;0")&amp;" people"))</f>
        <v/>
      </c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60" t="n">
        <f aca="false">IF(OR($S97=0,Setup!$B$18=""),0,IF(OR($G97="",$G97="Everyone"),1,IF($G97="Custom",N(U97),IF(OR($G97=Setup!$B$18,AND(Setup!$C$18&lt;&gt;"",$G97=Setup!$C$18)),1,0))))</f>
        <v>0</v>
      </c>
      <c r="AF97" s="60" t="n">
        <f aca="false">IF(OR($S97=0,Setup!$B$19=""),0,IF(OR($G97="",$G97="Everyone"),1,IF($G97="Custom",N(V97),IF(OR($G97=Setup!$B$19,AND(Setup!$C$19&lt;&gt;"",$G97=Setup!$C$19)),1,0))))</f>
        <v>0</v>
      </c>
      <c r="AG97" s="60" t="n">
        <f aca="false">IF(OR($S97=0,Setup!$B$20=""),0,IF(OR($G97="",$G97="Everyone"),1,IF($G97="Custom",N(W97),IF(OR($G97=Setup!$B$20,AND(Setup!$C$20&lt;&gt;"",$G97=Setup!$C$20)),1,0))))</f>
        <v>0</v>
      </c>
      <c r="AH97" s="60" t="n">
        <f aca="false">IF(OR($S97=0,Setup!$B$21=""),0,IF(OR($G97="",$G97="Everyone"),1,IF($G97="Custom",N(X97),IF(OR($G97=Setup!$B$21,AND(Setup!$C$21&lt;&gt;"",$G97=Setup!$C$21)),1,0))))</f>
        <v>0</v>
      </c>
      <c r="AI97" s="60" t="n">
        <f aca="false">IF(OR($S97=0,Setup!$B$22=""),0,IF(OR($G97="",$G97="Everyone"),1,IF($G97="Custom",N(Y97),IF(OR($G97=Setup!$B$22,AND(Setup!$C$22&lt;&gt;"",$G97=Setup!$C$22)),1,0))))</f>
        <v>0</v>
      </c>
      <c r="AJ97" s="60" t="n">
        <f aca="false">IF(OR($S97=0,Setup!$B$23=""),0,IF(OR($G97="",$G97="Everyone"),1,IF($G97="Custom",N(Z97),IF(OR($G97=Setup!$B$23,AND(Setup!$C$23&lt;&gt;"",$G97=Setup!$C$23)),1,0))))</f>
        <v>0</v>
      </c>
      <c r="AK97" s="60" t="n">
        <f aca="false">IF(OR($S97=0,Setup!$B$24=""),0,IF(OR($G97="",$G97="Everyone"),1,IF($G97="Custom",N(AA97),IF(OR($G97=Setup!$B$24,AND(Setup!$C$24&lt;&gt;"",$G97=Setup!$C$24)),1,0))))</f>
        <v>0</v>
      </c>
      <c r="AL97" s="60" t="n">
        <f aca="false">IF(OR($S97=0,Setup!$B$25=""),0,IF(OR($G97="",$G97="Everyone"),1,IF($G97="Custom",N(AB97),IF(OR($G97=Setup!$B$25,AND(Setup!$C$25&lt;&gt;"",$G97=Setup!$C$25)),1,0))))</f>
        <v>0</v>
      </c>
      <c r="AM97" s="60" t="n">
        <f aca="false">IF(OR($S97=0,Setup!$B$26=""),0,IF(OR($G97="",$G97="Everyone"),1,IF($G97="Custom",N(AC97),IF(OR($G97=Setup!$B$26,AND(Setup!$C$26&lt;&gt;"",$G97=Setup!$C$26)),1,0))))</f>
        <v>0</v>
      </c>
      <c r="AN97" s="60" t="n">
        <f aca="false">IF(OR($S97=0,Setup!$B$27=""),0,IF(OR($G97="",$G97="Everyone"),1,IF($G97="Custom",N(AD97),IF(OR($G97=Setup!$B$27,AND(Setup!$C$27&lt;&gt;"",$G97=Setup!$C$27)),1,0))))</f>
        <v>0</v>
      </c>
      <c r="AO97" s="60" t="n">
        <f aca="false">IF(SUM(AE97:AN97)=0,1,SUM(AE97:AN97))</f>
        <v>1</v>
      </c>
      <c r="AP97" s="60" t="n">
        <f aca="false">IF(H97="Paid",1,0)</f>
        <v>0</v>
      </c>
      <c r="AQ97" s="60" t="n">
        <f aca="false">IF(AND(S97&gt;0,SUM(AE97:AN97)=0),S97,0)</f>
        <v>0</v>
      </c>
      <c r="AR97" s="60" t="str">
        <f aca="false">IF(AND(N97&lt;&gt;"",TodayDay&lt;&gt;"",N97=TodayDay),COUNTIF($N$6:N97,TodayDay),"")</f>
        <v/>
      </c>
      <c r="AS97" s="60" t="n">
        <f aca="false">IF(B97="",0,IF(COUNTIFS(Settings!$A$5:$A$29,B97,Settings!$B$5:$B$29,"Yes")&gt;0,1,0))</f>
        <v>0</v>
      </c>
      <c r="AT97" s="61" t="n">
        <f aca="false">IF(OR(N97="",TodayDay=""),IF(N97="",S97,0),IF(N97&lt;TodayDay,S97,0))</f>
        <v>0</v>
      </c>
    </row>
    <row r="98" customFormat="false" ht="15" hidden="false" customHeight="false" outlineLevel="0" collapsed="false">
      <c r="A98" s="23"/>
      <c r="B98" s="23"/>
      <c r="C98" s="23"/>
      <c r="D98" s="56"/>
      <c r="E98" s="23"/>
      <c r="F98" s="23"/>
      <c r="G98" s="23"/>
      <c r="H98" s="23"/>
      <c r="I98" s="56"/>
      <c r="J98" s="23"/>
      <c r="K98" s="28"/>
      <c r="L98" s="23"/>
      <c r="M98" s="23"/>
      <c r="N98" s="25" t="str">
        <f aca="false">IF(A98="","",IF(LEFT(A98,3)="Pre",0,IFERROR(VALUE(MID(A98,5,FIND(" ",A98&amp;" ",5)-5)),"")))</f>
        <v/>
      </c>
      <c r="O98" s="57" t="str">
        <f aca="false">IF(N98="","",IF(N98=0,"Before trip",IF(TripStart="","",TripStart+N98-1)))</f>
        <v/>
      </c>
      <c r="P98" s="58" t="str">
        <f aca="false">IF(AND(D98="",I98=""),"",IF(OR(E98="",E98=HomeCcy),1,IFERROR(INDEX(Setup!$J$26:$J$33,MATCH(E98,Setup!$G$26:$G$33,0)),IFERROR(INDEX(Settings!$S$5:$S$64,MATCH(E98,Settings!$R$5:$R$64,0))/HomeINR,1))))</f>
        <v/>
      </c>
      <c r="Q98" s="34" t="str">
        <f aca="false">IF(D98="","",D98*P98)</f>
        <v/>
      </c>
      <c r="R98" s="34" t="str">
        <f aca="false">IF(I98="","",I98*P98)</f>
        <v/>
      </c>
      <c r="S98" s="33" t="n">
        <f aca="false">IF(H98="Cancelled",0,IF(R98&lt;&gt;"",R98,IF(Q98&lt;&gt;"",Q98,0)))</f>
        <v>0</v>
      </c>
      <c r="T98" s="45" t="str">
        <f aca="false">IF(S98=0,"",IF(SUM(AE98:AN98)=0,"⚠ nobody picked",COUNTIF(AE98:AN98,"&gt;0")&amp;" people"))</f>
        <v/>
      </c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60" t="n">
        <f aca="false">IF(OR($S98=0,Setup!$B$18=""),0,IF(OR($G98="",$G98="Everyone"),1,IF($G98="Custom",N(U98),IF(OR($G98=Setup!$B$18,AND(Setup!$C$18&lt;&gt;"",$G98=Setup!$C$18)),1,0))))</f>
        <v>0</v>
      </c>
      <c r="AF98" s="60" t="n">
        <f aca="false">IF(OR($S98=0,Setup!$B$19=""),0,IF(OR($G98="",$G98="Everyone"),1,IF($G98="Custom",N(V98),IF(OR($G98=Setup!$B$19,AND(Setup!$C$19&lt;&gt;"",$G98=Setup!$C$19)),1,0))))</f>
        <v>0</v>
      </c>
      <c r="AG98" s="60" t="n">
        <f aca="false">IF(OR($S98=0,Setup!$B$20=""),0,IF(OR($G98="",$G98="Everyone"),1,IF($G98="Custom",N(W98),IF(OR($G98=Setup!$B$20,AND(Setup!$C$20&lt;&gt;"",$G98=Setup!$C$20)),1,0))))</f>
        <v>0</v>
      </c>
      <c r="AH98" s="60" t="n">
        <f aca="false">IF(OR($S98=0,Setup!$B$21=""),0,IF(OR($G98="",$G98="Everyone"),1,IF($G98="Custom",N(X98),IF(OR($G98=Setup!$B$21,AND(Setup!$C$21&lt;&gt;"",$G98=Setup!$C$21)),1,0))))</f>
        <v>0</v>
      </c>
      <c r="AI98" s="60" t="n">
        <f aca="false">IF(OR($S98=0,Setup!$B$22=""),0,IF(OR($G98="",$G98="Everyone"),1,IF($G98="Custom",N(Y98),IF(OR($G98=Setup!$B$22,AND(Setup!$C$22&lt;&gt;"",$G98=Setup!$C$22)),1,0))))</f>
        <v>0</v>
      </c>
      <c r="AJ98" s="60" t="n">
        <f aca="false">IF(OR($S98=0,Setup!$B$23=""),0,IF(OR($G98="",$G98="Everyone"),1,IF($G98="Custom",N(Z98),IF(OR($G98=Setup!$B$23,AND(Setup!$C$23&lt;&gt;"",$G98=Setup!$C$23)),1,0))))</f>
        <v>0</v>
      </c>
      <c r="AK98" s="60" t="n">
        <f aca="false">IF(OR($S98=0,Setup!$B$24=""),0,IF(OR($G98="",$G98="Everyone"),1,IF($G98="Custom",N(AA98),IF(OR($G98=Setup!$B$24,AND(Setup!$C$24&lt;&gt;"",$G98=Setup!$C$24)),1,0))))</f>
        <v>0</v>
      </c>
      <c r="AL98" s="60" t="n">
        <f aca="false">IF(OR($S98=0,Setup!$B$25=""),0,IF(OR($G98="",$G98="Everyone"),1,IF($G98="Custom",N(AB98),IF(OR($G98=Setup!$B$25,AND(Setup!$C$25&lt;&gt;"",$G98=Setup!$C$25)),1,0))))</f>
        <v>0</v>
      </c>
      <c r="AM98" s="60" t="n">
        <f aca="false">IF(OR($S98=0,Setup!$B$26=""),0,IF(OR($G98="",$G98="Everyone"),1,IF($G98="Custom",N(AC98),IF(OR($G98=Setup!$B$26,AND(Setup!$C$26&lt;&gt;"",$G98=Setup!$C$26)),1,0))))</f>
        <v>0</v>
      </c>
      <c r="AN98" s="60" t="n">
        <f aca="false">IF(OR($S98=0,Setup!$B$27=""),0,IF(OR($G98="",$G98="Everyone"),1,IF($G98="Custom",N(AD98),IF(OR($G98=Setup!$B$27,AND(Setup!$C$27&lt;&gt;"",$G98=Setup!$C$27)),1,0))))</f>
        <v>0</v>
      </c>
      <c r="AO98" s="60" t="n">
        <f aca="false">IF(SUM(AE98:AN98)=0,1,SUM(AE98:AN98))</f>
        <v>1</v>
      </c>
      <c r="AP98" s="60" t="n">
        <f aca="false">IF(H98="Paid",1,0)</f>
        <v>0</v>
      </c>
      <c r="AQ98" s="60" t="n">
        <f aca="false">IF(AND(S98&gt;0,SUM(AE98:AN98)=0),S98,0)</f>
        <v>0</v>
      </c>
      <c r="AR98" s="60" t="str">
        <f aca="false">IF(AND(N98&lt;&gt;"",TodayDay&lt;&gt;"",N98=TodayDay),COUNTIF($N$6:N98,TodayDay),"")</f>
        <v/>
      </c>
      <c r="AS98" s="60" t="n">
        <f aca="false">IF(B98="",0,IF(COUNTIFS(Settings!$A$5:$A$29,B98,Settings!$B$5:$B$29,"Yes")&gt;0,1,0))</f>
        <v>0</v>
      </c>
      <c r="AT98" s="61" t="n">
        <f aca="false">IF(OR(N98="",TodayDay=""),IF(N98="",S98,0),IF(N98&lt;TodayDay,S98,0))</f>
        <v>0</v>
      </c>
    </row>
    <row r="99" customFormat="false" ht="15" hidden="false" customHeight="false" outlineLevel="0" collapsed="false">
      <c r="A99" s="23"/>
      <c r="B99" s="23"/>
      <c r="C99" s="23"/>
      <c r="D99" s="56"/>
      <c r="E99" s="23"/>
      <c r="F99" s="23"/>
      <c r="G99" s="23"/>
      <c r="H99" s="23"/>
      <c r="I99" s="56"/>
      <c r="J99" s="23"/>
      <c r="K99" s="28"/>
      <c r="L99" s="23"/>
      <c r="M99" s="23"/>
      <c r="N99" s="25" t="str">
        <f aca="false">IF(A99="","",IF(LEFT(A99,3)="Pre",0,IFERROR(VALUE(MID(A99,5,FIND(" ",A99&amp;" ",5)-5)),"")))</f>
        <v/>
      </c>
      <c r="O99" s="57" t="str">
        <f aca="false">IF(N99="","",IF(N99=0,"Before trip",IF(TripStart="","",TripStart+N99-1)))</f>
        <v/>
      </c>
      <c r="P99" s="58" t="str">
        <f aca="false">IF(AND(D99="",I99=""),"",IF(OR(E99="",E99=HomeCcy),1,IFERROR(INDEX(Setup!$J$26:$J$33,MATCH(E99,Setup!$G$26:$G$33,0)),IFERROR(INDEX(Settings!$S$5:$S$64,MATCH(E99,Settings!$R$5:$R$64,0))/HomeINR,1))))</f>
        <v/>
      </c>
      <c r="Q99" s="34" t="str">
        <f aca="false">IF(D99="","",D99*P99)</f>
        <v/>
      </c>
      <c r="R99" s="34" t="str">
        <f aca="false">IF(I99="","",I99*P99)</f>
        <v/>
      </c>
      <c r="S99" s="33" t="n">
        <f aca="false">IF(H99="Cancelled",0,IF(R99&lt;&gt;"",R99,IF(Q99&lt;&gt;"",Q99,0)))</f>
        <v>0</v>
      </c>
      <c r="T99" s="45" t="str">
        <f aca="false">IF(S99=0,"",IF(SUM(AE99:AN99)=0,"⚠ nobody picked",COUNTIF(AE99:AN99,"&gt;0")&amp;" people"))</f>
        <v/>
      </c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60" t="n">
        <f aca="false">IF(OR($S99=0,Setup!$B$18=""),0,IF(OR($G99="",$G99="Everyone"),1,IF($G99="Custom",N(U99),IF(OR($G99=Setup!$B$18,AND(Setup!$C$18&lt;&gt;"",$G99=Setup!$C$18)),1,0))))</f>
        <v>0</v>
      </c>
      <c r="AF99" s="60" t="n">
        <f aca="false">IF(OR($S99=0,Setup!$B$19=""),0,IF(OR($G99="",$G99="Everyone"),1,IF($G99="Custom",N(V99),IF(OR($G99=Setup!$B$19,AND(Setup!$C$19&lt;&gt;"",$G99=Setup!$C$19)),1,0))))</f>
        <v>0</v>
      </c>
      <c r="AG99" s="60" t="n">
        <f aca="false">IF(OR($S99=0,Setup!$B$20=""),0,IF(OR($G99="",$G99="Everyone"),1,IF($G99="Custom",N(W99),IF(OR($G99=Setup!$B$20,AND(Setup!$C$20&lt;&gt;"",$G99=Setup!$C$20)),1,0))))</f>
        <v>0</v>
      </c>
      <c r="AH99" s="60" t="n">
        <f aca="false">IF(OR($S99=0,Setup!$B$21=""),0,IF(OR($G99="",$G99="Everyone"),1,IF($G99="Custom",N(X99),IF(OR($G99=Setup!$B$21,AND(Setup!$C$21&lt;&gt;"",$G99=Setup!$C$21)),1,0))))</f>
        <v>0</v>
      </c>
      <c r="AI99" s="60" t="n">
        <f aca="false">IF(OR($S99=0,Setup!$B$22=""),0,IF(OR($G99="",$G99="Everyone"),1,IF($G99="Custom",N(Y99),IF(OR($G99=Setup!$B$22,AND(Setup!$C$22&lt;&gt;"",$G99=Setup!$C$22)),1,0))))</f>
        <v>0</v>
      </c>
      <c r="AJ99" s="60" t="n">
        <f aca="false">IF(OR($S99=0,Setup!$B$23=""),0,IF(OR($G99="",$G99="Everyone"),1,IF($G99="Custom",N(Z99),IF(OR($G99=Setup!$B$23,AND(Setup!$C$23&lt;&gt;"",$G99=Setup!$C$23)),1,0))))</f>
        <v>0</v>
      </c>
      <c r="AK99" s="60" t="n">
        <f aca="false">IF(OR($S99=0,Setup!$B$24=""),0,IF(OR($G99="",$G99="Everyone"),1,IF($G99="Custom",N(AA99),IF(OR($G99=Setup!$B$24,AND(Setup!$C$24&lt;&gt;"",$G99=Setup!$C$24)),1,0))))</f>
        <v>0</v>
      </c>
      <c r="AL99" s="60" t="n">
        <f aca="false">IF(OR($S99=0,Setup!$B$25=""),0,IF(OR($G99="",$G99="Everyone"),1,IF($G99="Custom",N(AB99),IF(OR($G99=Setup!$B$25,AND(Setup!$C$25&lt;&gt;"",$G99=Setup!$C$25)),1,0))))</f>
        <v>0</v>
      </c>
      <c r="AM99" s="60" t="n">
        <f aca="false">IF(OR($S99=0,Setup!$B$26=""),0,IF(OR($G99="",$G99="Everyone"),1,IF($G99="Custom",N(AC99),IF(OR($G99=Setup!$B$26,AND(Setup!$C$26&lt;&gt;"",$G99=Setup!$C$26)),1,0))))</f>
        <v>0</v>
      </c>
      <c r="AN99" s="60" t="n">
        <f aca="false">IF(OR($S99=0,Setup!$B$27=""),0,IF(OR($G99="",$G99="Everyone"),1,IF($G99="Custom",N(AD99),IF(OR($G99=Setup!$B$27,AND(Setup!$C$27&lt;&gt;"",$G99=Setup!$C$27)),1,0))))</f>
        <v>0</v>
      </c>
      <c r="AO99" s="60" t="n">
        <f aca="false">IF(SUM(AE99:AN99)=0,1,SUM(AE99:AN99))</f>
        <v>1</v>
      </c>
      <c r="AP99" s="60" t="n">
        <f aca="false">IF(H99="Paid",1,0)</f>
        <v>0</v>
      </c>
      <c r="AQ99" s="60" t="n">
        <f aca="false">IF(AND(S99&gt;0,SUM(AE99:AN99)=0),S99,0)</f>
        <v>0</v>
      </c>
      <c r="AR99" s="60" t="str">
        <f aca="false">IF(AND(N99&lt;&gt;"",TodayDay&lt;&gt;"",N99=TodayDay),COUNTIF($N$6:N99,TodayDay),"")</f>
        <v/>
      </c>
      <c r="AS99" s="60" t="n">
        <f aca="false">IF(B99="",0,IF(COUNTIFS(Settings!$A$5:$A$29,B99,Settings!$B$5:$B$29,"Yes")&gt;0,1,0))</f>
        <v>0</v>
      </c>
      <c r="AT99" s="61" t="n">
        <f aca="false">IF(OR(N99="",TodayDay=""),IF(N99="",S99,0),IF(N99&lt;TodayDay,S99,0))</f>
        <v>0</v>
      </c>
    </row>
    <row r="100" customFormat="false" ht="15" hidden="false" customHeight="false" outlineLevel="0" collapsed="false">
      <c r="A100" s="23"/>
      <c r="B100" s="23"/>
      <c r="C100" s="23"/>
      <c r="D100" s="56"/>
      <c r="E100" s="23"/>
      <c r="F100" s="23"/>
      <c r="G100" s="23"/>
      <c r="H100" s="23"/>
      <c r="I100" s="56"/>
      <c r="J100" s="23"/>
      <c r="K100" s="28"/>
      <c r="L100" s="23"/>
      <c r="M100" s="23"/>
      <c r="N100" s="25" t="str">
        <f aca="false">IF(A100="","",IF(LEFT(A100,3)="Pre",0,IFERROR(VALUE(MID(A100,5,FIND(" ",A100&amp;" ",5)-5)),"")))</f>
        <v/>
      </c>
      <c r="O100" s="57" t="str">
        <f aca="false">IF(N100="","",IF(N100=0,"Before trip",IF(TripStart="","",TripStart+N100-1)))</f>
        <v/>
      </c>
      <c r="P100" s="58" t="str">
        <f aca="false">IF(AND(D100="",I100=""),"",IF(OR(E100="",E100=HomeCcy),1,IFERROR(INDEX(Setup!$J$26:$J$33,MATCH(E100,Setup!$G$26:$G$33,0)),IFERROR(INDEX(Settings!$S$5:$S$64,MATCH(E100,Settings!$R$5:$R$64,0))/HomeINR,1))))</f>
        <v/>
      </c>
      <c r="Q100" s="34" t="str">
        <f aca="false">IF(D100="","",D100*P100)</f>
        <v/>
      </c>
      <c r="R100" s="34" t="str">
        <f aca="false">IF(I100="","",I100*P100)</f>
        <v/>
      </c>
      <c r="S100" s="33" t="n">
        <f aca="false">IF(H100="Cancelled",0,IF(R100&lt;&gt;"",R100,IF(Q100&lt;&gt;"",Q100,0)))</f>
        <v>0</v>
      </c>
      <c r="T100" s="45" t="str">
        <f aca="false">IF(S100=0,"",IF(SUM(AE100:AN100)=0,"⚠ nobody picked",COUNTIF(AE100:AN100,"&gt;0")&amp;" people"))</f>
        <v/>
      </c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60" t="n">
        <f aca="false">IF(OR($S100=0,Setup!$B$18=""),0,IF(OR($G100="",$G100="Everyone"),1,IF($G100="Custom",N(U100),IF(OR($G100=Setup!$B$18,AND(Setup!$C$18&lt;&gt;"",$G100=Setup!$C$18)),1,0))))</f>
        <v>0</v>
      </c>
      <c r="AF100" s="60" t="n">
        <f aca="false">IF(OR($S100=0,Setup!$B$19=""),0,IF(OR($G100="",$G100="Everyone"),1,IF($G100="Custom",N(V100),IF(OR($G100=Setup!$B$19,AND(Setup!$C$19&lt;&gt;"",$G100=Setup!$C$19)),1,0))))</f>
        <v>0</v>
      </c>
      <c r="AG100" s="60" t="n">
        <f aca="false">IF(OR($S100=0,Setup!$B$20=""),0,IF(OR($G100="",$G100="Everyone"),1,IF($G100="Custom",N(W100),IF(OR($G100=Setup!$B$20,AND(Setup!$C$20&lt;&gt;"",$G100=Setup!$C$20)),1,0))))</f>
        <v>0</v>
      </c>
      <c r="AH100" s="60" t="n">
        <f aca="false">IF(OR($S100=0,Setup!$B$21=""),0,IF(OR($G100="",$G100="Everyone"),1,IF($G100="Custom",N(X100),IF(OR($G100=Setup!$B$21,AND(Setup!$C$21&lt;&gt;"",$G100=Setup!$C$21)),1,0))))</f>
        <v>0</v>
      </c>
      <c r="AI100" s="60" t="n">
        <f aca="false">IF(OR($S100=0,Setup!$B$22=""),0,IF(OR($G100="",$G100="Everyone"),1,IF($G100="Custom",N(Y100),IF(OR($G100=Setup!$B$22,AND(Setup!$C$22&lt;&gt;"",$G100=Setup!$C$22)),1,0))))</f>
        <v>0</v>
      </c>
      <c r="AJ100" s="60" t="n">
        <f aca="false">IF(OR($S100=0,Setup!$B$23=""),0,IF(OR($G100="",$G100="Everyone"),1,IF($G100="Custom",N(Z100),IF(OR($G100=Setup!$B$23,AND(Setup!$C$23&lt;&gt;"",$G100=Setup!$C$23)),1,0))))</f>
        <v>0</v>
      </c>
      <c r="AK100" s="60" t="n">
        <f aca="false">IF(OR($S100=0,Setup!$B$24=""),0,IF(OR($G100="",$G100="Everyone"),1,IF($G100="Custom",N(AA100),IF(OR($G100=Setup!$B$24,AND(Setup!$C$24&lt;&gt;"",$G100=Setup!$C$24)),1,0))))</f>
        <v>0</v>
      </c>
      <c r="AL100" s="60" t="n">
        <f aca="false">IF(OR($S100=0,Setup!$B$25=""),0,IF(OR($G100="",$G100="Everyone"),1,IF($G100="Custom",N(AB100),IF(OR($G100=Setup!$B$25,AND(Setup!$C$25&lt;&gt;"",$G100=Setup!$C$25)),1,0))))</f>
        <v>0</v>
      </c>
      <c r="AM100" s="60" t="n">
        <f aca="false">IF(OR($S100=0,Setup!$B$26=""),0,IF(OR($G100="",$G100="Everyone"),1,IF($G100="Custom",N(AC100),IF(OR($G100=Setup!$B$26,AND(Setup!$C$26&lt;&gt;"",$G100=Setup!$C$26)),1,0))))</f>
        <v>0</v>
      </c>
      <c r="AN100" s="60" t="n">
        <f aca="false">IF(OR($S100=0,Setup!$B$27=""),0,IF(OR($G100="",$G100="Everyone"),1,IF($G100="Custom",N(AD100),IF(OR($G100=Setup!$B$27,AND(Setup!$C$27&lt;&gt;"",$G100=Setup!$C$27)),1,0))))</f>
        <v>0</v>
      </c>
      <c r="AO100" s="60" t="n">
        <f aca="false">IF(SUM(AE100:AN100)=0,1,SUM(AE100:AN100))</f>
        <v>1</v>
      </c>
      <c r="AP100" s="60" t="n">
        <f aca="false">IF(H100="Paid",1,0)</f>
        <v>0</v>
      </c>
      <c r="AQ100" s="60" t="n">
        <f aca="false">IF(AND(S100&gt;0,SUM(AE100:AN100)=0),S100,0)</f>
        <v>0</v>
      </c>
      <c r="AR100" s="60" t="str">
        <f aca="false">IF(AND(N100&lt;&gt;"",TodayDay&lt;&gt;"",N100=TodayDay),COUNTIF($N$6:N100,TodayDay),"")</f>
        <v/>
      </c>
      <c r="AS100" s="60" t="n">
        <f aca="false">IF(B100="",0,IF(COUNTIFS(Settings!$A$5:$A$29,B100,Settings!$B$5:$B$29,"Yes")&gt;0,1,0))</f>
        <v>0</v>
      </c>
      <c r="AT100" s="61" t="n">
        <f aca="false">IF(OR(N100="",TodayDay=""),IF(N100="",S100,0),IF(N100&lt;TodayDay,S100,0))</f>
        <v>0</v>
      </c>
    </row>
    <row r="101" customFormat="false" ht="15" hidden="false" customHeight="false" outlineLevel="0" collapsed="false">
      <c r="A101" s="23"/>
      <c r="B101" s="23"/>
      <c r="C101" s="23"/>
      <c r="D101" s="56"/>
      <c r="E101" s="23"/>
      <c r="F101" s="23"/>
      <c r="G101" s="23"/>
      <c r="H101" s="23"/>
      <c r="I101" s="56"/>
      <c r="J101" s="23"/>
      <c r="K101" s="28"/>
      <c r="L101" s="23"/>
      <c r="M101" s="23"/>
      <c r="N101" s="25" t="str">
        <f aca="false">IF(A101="","",IF(LEFT(A101,3)="Pre",0,IFERROR(VALUE(MID(A101,5,FIND(" ",A101&amp;" ",5)-5)),"")))</f>
        <v/>
      </c>
      <c r="O101" s="57" t="str">
        <f aca="false">IF(N101="","",IF(N101=0,"Before trip",IF(TripStart="","",TripStart+N101-1)))</f>
        <v/>
      </c>
      <c r="P101" s="58" t="str">
        <f aca="false">IF(AND(D101="",I101=""),"",IF(OR(E101="",E101=HomeCcy),1,IFERROR(INDEX(Setup!$J$26:$J$33,MATCH(E101,Setup!$G$26:$G$33,0)),IFERROR(INDEX(Settings!$S$5:$S$64,MATCH(E101,Settings!$R$5:$R$64,0))/HomeINR,1))))</f>
        <v/>
      </c>
      <c r="Q101" s="34" t="str">
        <f aca="false">IF(D101="","",D101*P101)</f>
        <v/>
      </c>
      <c r="R101" s="34" t="str">
        <f aca="false">IF(I101="","",I101*P101)</f>
        <v/>
      </c>
      <c r="S101" s="33" t="n">
        <f aca="false">IF(H101="Cancelled",0,IF(R101&lt;&gt;"",R101,IF(Q101&lt;&gt;"",Q101,0)))</f>
        <v>0</v>
      </c>
      <c r="T101" s="45" t="str">
        <f aca="false">IF(S101=0,"",IF(SUM(AE101:AN101)=0,"⚠ nobody picked",COUNTIF(AE101:AN101,"&gt;0")&amp;" people"))</f>
        <v/>
      </c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60" t="n">
        <f aca="false">IF(OR($S101=0,Setup!$B$18=""),0,IF(OR($G101="",$G101="Everyone"),1,IF($G101="Custom",N(U101),IF(OR($G101=Setup!$B$18,AND(Setup!$C$18&lt;&gt;"",$G101=Setup!$C$18)),1,0))))</f>
        <v>0</v>
      </c>
      <c r="AF101" s="60" t="n">
        <f aca="false">IF(OR($S101=0,Setup!$B$19=""),0,IF(OR($G101="",$G101="Everyone"),1,IF($G101="Custom",N(V101),IF(OR($G101=Setup!$B$19,AND(Setup!$C$19&lt;&gt;"",$G101=Setup!$C$19)),1,0))))</f>
        <v>0</v>
      </c>
      <c r="AG101" s="60" t="n">
        <f aca="false">IF(OR($S101=0,Setup!$B$20=""),0,IF(OR($G101="",$G101="Everyone"),1,IF($G101="Custom",N(W101),IF(OR($G101=Setup!$B$20,AND(Setup!$C$20&lt;&gt;"",$G101=Setup!$C$20)),1,0))))</f>
        <v>0</v>
      </c>
      <c r="AH101" s="60" t="n">
        <f aca="false">IF(OR($S101=0,Setup!$B$21=""),0,IF(OR($G101="",$G101="Everyone"),1,IF($G101="Custom",N(X101),IF(OR($G101=Setup!$B$21,AND(Setup!$C$21&lt;&gt;"",$G101=Setup!$C$21)),1,0))))</f>
        <v>0</v>
      </c>
      <c r="AI101" s="60" t="n">
        <f aca="false">IF(OR($S101=0,Setup!$B$22=""),0,IF(OR($G101="",$G101="Everyone"),1,IF($G101="Custom",N(Y101),IF(OR($G101=Setup!$B$22,AND(Setup!$C$22&lt;&gt;"",$G101=Setup!$C$22)),1,0))))</f>
        <v>0</v>
      </c>
      <c r="AJ101" s="60" t="n">
        <f aca="false">IF(OR($S101=0,Setup!$B$23=""),0,IF(OR($G101="",$G101="Everyone"),1,IF($G101="Custom",N(Z101),IF(OR($G101=Setup!$B$23,AND(Setup!$C$23&lt;&gt;"",$G101=Setup!$C$23)),1,0))))</f>
        <v>0</v>
      </c>
      <c r="AK101" s="60" t="n">
        <f aca="false">IF(OR($S101=0,Setup!$B$24=""),0,IF(OR($G101="",$G101="Everyone"),1,IF($G101="Custom",N(AA101),IF(OR($G101=Setup!$B$24,AND(Setup!$C$24&lt;&gt;"",$G101=Setup!$C$24)),1,0))))</f>
        <v>0</v>
      </c>
      <c r="AL101" s="60" t="n">
        <f aca="false">IF(OR($S101=0,Setup!$B$25=""),0,IF(OR($G101="",$G101="Everyone"),1,IF($G101="Custom",N(AB101),IF(OR($G101=Setup!$B$25,AND(Setup!$C$25&lt;&gt;"",$G101=Setup!$C$25)),1,0))))</f>
        <v>0</v>
      </c>
      <c r="AM101" s="60" t="n">
        <f aca="false">IF(OR($S101=0,Setup!$B$26=""),0,IF(OR($G101="",$G101="Everyone"),1,IF($G101="Custom",N(AC101),IF(OR($G101=Setup!$B$26,AND(Setup!$C$26&lt;&gt;"",$G101=Setup!$C$26)),1,0))))</f>
        <v>0</v>
      </c>
      <c r="AN101" s="60" t="n">
        <f aca="false">IF(OR($S101=0,Setup!$B$27=""),0,IF(OR($G101="",$G101="Everyone"),1,IF($G101="Custom",N(AD101),IF(OR($G101=Setup!$B$27,AND(Setup!$C$27&lt;&gt;"",$G101=Setup!$C$27)),1,0))))</f>
        <v>0</v>
      </c>
      <c r="AO101" s="60" t="n">
        <f aca="false">IF(SUM(AE101:AN101)=0,1,SUM(AE101:AN101))</f>
        <v>1</v>
      </c>
      <c r="AP101" s="60" t="n">
        <f aca="false">IF(H101="Paid",1,0)</f>
        <v>0</v>
      </c>
      <c r="AQ101" s="60" t="n">
        <f aca="false">IF(AND(S101&gt;0,SUM(AE101:AN101)=0),S101,0)</f>
        <v>0</v>
      </c>
      <c r="AR101" s="60" t="str">
        <f aca="false">IF(AND(N101&lt;&gt;"",TodayDay&lt;&gt;"",N101=TodayDay),COUNTIF($N$6:N101,TodayDay),"")</f>
        <v/>
      </c>
      <c r="AS101" s="60" t="n">
        <f aca="false">IF(B101="",0,IF(COUNTIFS(Settings!$A$5:$A$29,B101,Settings!$B$5:$B$29,"Yes")&gt;0,1,0))</f>
        <v>0</v>
      </c>
      <c r="AT101" s="61" t="n">
        <f aca="false">IF(OR(N101="",TodayDay=""),IF(N101="",S101,0),IF(N101&lt;TodayDay,S101,0))</f>
        <v>0</v>
      </c>
    </row>
    <row r="102" customFormat="false" ht="15" hidden="false" customHeight="false" outlineLevel="0" collapsed="false">
      <c r="A102" s="23"/>
      <c r="B102" s="23"/>
      <c r="C102" s="23"/>
      <c r="D102" s="56"/>
      <c r="E102" s="23"/>
      <c r="F102" s="23"/>
      <c r="G102" s="23"/>
      <c r="H102" s="23"/>
      <c r="I102" s="56"/>
      <c r="J102" s="23"/>
      <c r="K102" s="28"/>
      <c r="L102" s="23"/>
      <c r="M102" s="23"/>
      <c r="N102" s="25" t="str">
        <f aca="false">IF(A102="","",IF(LEFT(A102,3)="Pre",0,IFERROR(VALUE(MID(A102,5,FIND(" ",A102&amp;" ",5)-5)),"")))</f>
        <v/>
      </c>
      <c r="O102" s="57" t="str">
        <f aca="false">IF(N102="","",IF(N102=0,"Before trip",IF(TripStart="","",TripStart+N102-1)))</f>
        <v/>
      </c>
      <c r="P102" s="58" t="str">
        <f aca="false">IF(AND(D102="",I102=""),"",IF(OR(E102="",E102=HomeCcy),1,IFERROR(INDEX(Setup!$J$26:$J$33,MATCH(E102,Setup!$G$26:$G$33,0)),IFERROR(INDEX(Settings!$S$5:$S$64,MATCH(E102,Settings!$R$5:$R$64,0))/HomeINR,1))))</f>
        <v/>
      </c>
      <c r="Q102" s="34" t="str">
        <f aca="false">IF(D102="","",D102*P102)</f>
        <v/>
      </c>
      <c r="R102" s="34" t="str">
        <f aca="false">IF(I102="","",I102*P102)</f>
        <v/>
      </c>
      <c r="S102" s="33" t="n">
        <f aca="false">IF(H102="Cancelled",0,IF(R102&lt;&gt;"",R102,IF(Q102&lt;&gt;"",Q102,0)))</f>
        <v>0</v>
      </c>
      <c r="T102" s="45" t="str">
        <f aca="false">IF(S102=0,"",IF(SUM(AE102:AN102)=0,"⚠ nobody picked",COUNTIF(AE102:AN102,"&gt;0")&amp;" people"))</f>
        <v/>
      </c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60" t="n">
        <f aca="false">IF(OR($S102=0,Setup!$B$18=""),0,IF(OR($G102="",$G102="Everyone"),1,IF($G102="Custom",N(U102),IF(OR($G102=Setup!$B$18,AND(Setup!$C$18&lt;&gt;"",$G102=Setup!$C$18)),1,0))))</f>
        <v>0</v>
      </c>
      <c r="AF102" s="60" t="n">
        <f aca="false">IF(OR($S102=0,Setup!$B$19=""),0,IF(OR($G102="",$G102="Everyone"),1,IF($G102="Custom",N(V102),IF(OR($G102=Setup!$B$19,AND(Setup!$C$19&lt;&gt;"",$G102=Setup!$C$19)),1,0))))</f>
        <v>0</v>
      </c>
      <c r="AG102" s="60" t="n">
        <f aca="false">IF(OR($S102=0,Setup!$B$20=""),0,IF(OR($G102="",$G102="Everyone"),1,IF($G102="Custom",N(W102),IF(OR($G102=Setup!$B$20,AND(Setup!$C$20&lt;&gt;"",$G102=Setup!$C$20)),1,0))))</f>
        <v>0</v>
      </c>
      <c r="AH102" s="60" t="n">
        <f aca="false">IF(OR($S102=0,Setup!$B$21=""),0,IF(OR($G102="",$G102="Everyone"),1,IF($G102="Custom",N(X102),IF(OR($G102=Setup!$B$21,AND(Setup!$C$21&lt;&gt;"",$G102=Setup!$C$21)),1,0))))</f>
        <v>0</v>
      </c>
      <c r="AI102" s="60" t="n">
        <f aca="false">IF(OR($S102=0,Setup!$B$22=""),0,IF(OR($G102="",$G102="Everyone"),1,IF($G102="Custom",N(Y102),IF(OR($G102=Setup!$B$22,AND(Setup!$C$22&lt;&gt;"",$G102=Setup!$C$22)),1,0))))</f>
        <v>0</v>
      </c>
      <c r="AJ102" s="60" t="n">
        <f aca="false">IF(OR($S102=0,Setup!$B$23=""),0,IF(OR($G102="",$G102="Everyone"),1,IF($G102="Custom",N(Z102),IF(OR($G102=Setup!$B$23,AND(Setup!$C$23&lt;&gt;"",$G102=Setup!$C$23)),1,0))))</f>
        <v>0</v>
      </c>
      <c r="AK102" s="60" t="n">
        <f aca="false">IF(OR($S102=0,Setup!$B$24=""),0,IF(OR($G102="",$G102="Everyone"),1,IF($G102="Custom",N(AA102),IF(OR($G102=Setup!$B$24,AND(Setup!$C$24&lt;&gt;"",$G102=Setup!$C$24)),1,0))))</f>
        <v>0</v>
      </c>
      <c r="AL102" s="60" t="n">
        <f aca="false">IF(OR($S102=0,Setup!$B$25=""),0,IF(OR($G102="",$G102="Everyone"),1,IF($G102="Custom",N(AB102),IF(OR($G102=Setup!$B$25,AND(Setup!$C$25&lt;&gt;"",$G102=Setup!$C$25)),1,0))))</f>
        <v>0</v>
      </c>
      <c r="AM102" s="60" t="n">
        <f aca="false">IF(OR($S102=0,Setup!$B$26=""),0,IF(OR($G102="",$G102="Everyone"),1,IF($G102="Custom",N(AC102),IF(OR($G102=Setup!$B$26,AND(Setup!$C$26&lt;&gt;"",$G102=Setup!$C$26)),1,0))))</f>
        <v>0</v>
      </c>
      <c r="AN102" s="60" t="n">
        <f aca="false">IF(OR($S102=0,Setup!$B$27=""),0,IF(OR($G102="",$G102="Everyone"),1,IF($G102="Custom",N(AD102),IF(OR($G102=Setup!$B$27,AND(Setup!$C$27&lt;&gt;"",$G102=Setup!$C$27)),1,0))))</f>
        <v>0</v>
      </c>
      <c r="AO102" s="60" t="n">
        <f aca="false">IF(SUM(AE102:AN102)=0,1,SUM(AE102:AN102))</f>
        <v>1</v>
      </c>
      <c r="AP102" s="60" t="n">
        <f aca="false">IF(H102="Paid",1,0)</f>
        <v>0</v>
      </c>
      <c r="AQ102" s="60" t="n">
        <f aca="false">IF(AND(S102&gt;0,SUM(AE102:AN102)=0),S102,0)</f>
        <v>0</v>
      </c>
      <c r="AR102" s="60" t="str">
        <f aca="false">IF(AND(N102&lt;&gt;"",TodayDay&lt;&gt;"",N102=TodayDay),COUNTIF($N$6:N102,TodayDay),"")</f>
        <v/>
      </c>
      <c r="AS102" s="60" t="n">
        <f aca="false">IF(B102="",0,IF(COUNTIFS(Settings!$A$5:$A$29,B102,Settings!$B$5:$B$29,"Yes")&gt;0,1,0))</f>
        <v>0</v>
      </c>
      <c r="AT102" s="61" t="n">
        <f aca="false">IF(OR(N102="",TodayDay=""),IF(N102="",S102,0),IF(N102&lt;TodayDay,S102,0))</f>
        <v>0</v>
      </c>
    </row>
    <row r="103" customFormat="false" ht="15" hidden="false" customHeight="false" outlineLevel="0" collapsed="false">
      <c r="A103" s="23"/>
      <c r="B103" s="23"/>
      <c r="C103" s="23"/>
      <c r="D103" s="56"/>
      <c r="E103" s="23"/>
      <c r="F103" s="23"/>
      <c r="G103" s="23"/>
      <c r="H103" s="23"/>
      <c r="I103" s="56"/>
      <c r="J103" s="23"/>
      <c r="K103" s="28"/>
      <c r="L103" s="23"/>
      <c r="M103" s="23"/>
      <c r="N103" s="25" t="str">
        <f aca="false">IF(A103="","",IF(LEFT(A103,3)="Pre",0,IFERROR(VALUE(MID(A103,5,FIND(" ",A103&amp;" ",5)-5)),"")))</f>
        <v/>
      </c>
      <c r="O103" s="57" t="str">
        <f aca="false">IF(N103="","",IF(N103=0,"Before trip",IF(TripStart="","",TripStart+N103-1)))</f>
        <v/>
      </c>
      <c r="P103" s="58" t="str">
        <f aca="false">IF(AND(D103="",I103=""),"",IF(OR(E103="",E103=HomeCcy),1,IFERROR(INDEX(Setup!$J$26:$J$33,MATCH(E103,Setup!$G$26:$G$33,0)),IFERROR(INDEX(Settings!$S$5:$S$64,MATCH(E103,Settings!$R$5:$R$64,0))/HomeINR,1))))</f>
        <v/>
      </c>
      <c r="Q103" s="34" t="str">
        <f aca="false">IF(D103="","",D103*P103)</f>
        <v/>
      </c>
      <c r="R103" s="34" t="str">
        <f aca="false">IF(I103="","",I103*P103)</f>
        <v/>
      </c>
      <c r="S103" s="33" t="n">
        <f aca="false">IF(H103="Cancelled",0,IF(R103&lt;&gt;"",R103,IF(Q103&lt;&gt;"",Q103,0)))</f>
        <v>0</v>
      </c>
      <c r="T103" s="45" t="str">
        <f aca="false">IF(S103=0,"",IF(SUM(AE103:AN103)=0,"⚠ nobody picked",COUNTIF(AE103:AN103,"&gt;0")&amp;" people"))</f>
        <v/>
      </c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60" t="n">
        <f aca="false">IF(OR($S103=0,Setup!$B$18=""),0,IF(OR($G103="",$G103="Everyone"),1,IF($G103="Custom",N(U103),IF(OR($G103=Setup!$B$18,AND(Setup!$C$18&lt;&gt;"",$G103=Setup!$C$18)),1,0))))</f>
        <v>0</v>
      </c>
      <c r="AF103" s="60" t="n">
        <f aca="false">IF(OR($S103=0,Setup!$B$19=""),0,IF(OR($G103="",$G103="Everyone"),1,IF($G103="Custom",N(V103),IF(OR($G103=Setup!$B$19,AND(Setup!$C$19&lt;&gt;"",$G103=Setup!$C$19)),1,0))))</f>
        <v>0</v>
      </c>
      <c r="AG103" s="60" t="n">
        <f aca="false">IF(OR($S103=0,Setup!$B$20=""),0,IF(OR($G103="",$G103="Everyone"),1,IF($G103="Custom",N(W103),IF(OR($G103=Setup!$B$20,AND(Setup!$C$20&lt;&gt;"",$G103=Setup!$C$20)),1,0))))</f>
        <v>0</v>
      </c>
      <c r="AH103" s="60" t="n">
        <f aca="false">IF(OR($S103=0,Setup!$B$21=""),0,IF(OR($G103="",$G103="Everyone"),1,IF($G103="Custom",N(X103),IF(OR($G103=Setup!$B$21,AND(Setup!$C$21&lt;&gt;"",$G103=Setup!$C$21)),1,0))))</f>
        <v>0</v>
      </c>
      <c r="AI103" s="60" t="n">
        <f aca="false">IF(OR($S103=0,Setup!$B$22=""),0,IF(OR($G103="",$G103="Everyone"),1,IF($G103="Custom",N(Y103),IF(OR($G103=Setup!$B$22,AND(Setup!$C$22&lt;&gt;"",$G103=Setup!$C$22)),1,0))))</f>
        <v>0</v>
      </c>
      <c r="AJ103" s="60" t="n">
        <f aca="false">IF(OR($S103=0,Setup!$B$23=""),0,IF(OR($G103="",$G103="Everyone"),1,IF($G103="Custom",N(Z103),IF(OR($G103=Setup!$B$23,AND(Setup!$C$23&lt;&gt;"",$G103=Setup!$C$23)),1,0))))</f>
        <v>0</v>
      </c>
      <c r="AK103" s="60" t="n">
        <f aca="false">IF(OR($S103=0,Setup!$B$24=""),0,IF(OR($G103="",$G103="Everyone"),1,IF($G103="Custom",N(AA103),IF(OR($G103=Setup!$B$24,AND(Setup!$C$24&lt;&gt;"",$G103=Setup!$C$24)),1,0))))</f>
        <v>0</v>
      </c>
      <c r="AL103" s="60" t="n">
        <f aca="false">IF(OR($S103=0,Setup!$B$25=""),0,IF(OR($G103="",$G103="Everyone"),1,IF($G103="Custom",N(AB103),IF(OR($G103=Setup!$B$25,AND(Setup!$C$25&lt;&gt;"",$G103=Setup!$C$25)),1,0))))</f>
        <v>0</v>
      </c>
      <c r="AM103" s="60" t="n">
        <f aca="false">IF(OR($S103=0,Setup!$B$26=""),0,IF(OR($G103="",$G103="Everyone"),1,IF($G103="Custom",N(AC103),IF(OR($G103=Setup!$B$26,AND(Setup!$C$26&lt;&gt;"",$G103=Setup!$C$26)),1,0))))</f>
        <v>0</v>
      </c>
      <c r="AN103" s="60" t="n">
        <f aca="false">IF(OR($S103=0,Setup!$B$27=""),0,IF(OR($G103="",$G103="Everyone"),1,IF($G103="Custom",N(AD103),IF(OR($G103=Setup!$B$27,AND(Setup!$C$27&lt;&gt;"",$G103=Setup!$C$27)),1,0))))</f>
        <v>0</v>
      </c>
      <c r="AO103" s="60" t="n">
        <f aca="false">IF(SUM(AE103:AN103)=0,1,SUM(AE103:AN103))</f>
        <v>1</v>
      </c>
      <c r="AP103" s="60" t="n">
        <f aca="false">IF(H103="Paid",1,0)</f>
        <v>0</v>
      </c>
      <c r="AQ103" s="60" t="n">
        <f aca="false">IF(AND(S103&gt;0,SUM(AE103:AN103)=0),S103,0)</f>
        <v>0</v>
      </c>
      <c r="AR103" s="60" t="str">
        <f aca="false">IF(AND(N103&lt;&gt;"",TodayDay&lt;&gt;"",N103=TodayDay),COUNTIF($N$6:N103,TodayDay),"")</f>
        <v/>
      </c>
      <c r="AS103" s="60" t="n">
        <f aca="false">IF(B103="",0,IF(COUNTIFS(Settings!$A$5:$A$29,B103,Settings!$B$5:$B$29,"Yes")&gt;0,1,0))</f>
        <v>0</v>
      </c>
      <c r="AT103" s="61" t="n">
        <f aca="false">IF(OR(N103="",TodayDay=""),IF(N103="",S103,0),IF(N103&lt;TodayDay,S103,0))</f>
        <v>0</v>
      </c>
    </row>
    <row r="104" customFormat="false" ht="15" hidden="false" customHeight="false" outlineLevel="0" collapsed="false">
      <c r="A104" s="23"/>
      <c r="B104" s="23"/>
      <c r="C104" s="23"/>
      <c r="D104" s="56"/>
      <c r="E104" s="23"/>
      <c r="F104" s="23"/>
      <c r="G104" s="23"/>
      <c r="H104" s="23"/>
      <c r="I104" s="56"/>
      <c r="J104" s="23"/>
      <c r="K104" s="28"/>
      <c r="L104" s="23"/>
      <c r="M104" s="23"/>
      <c r="N104" s="25" t="str">
        <f aca="false">IF(A104="","",IF(LEFT(A104,3)="Pre",0,IFERROR(VALUE(MID(A104,5,FIND(" ",A104&amp;" ",5)-5)),"")))</f>
        <v/>
      </c>
      <c r="O104" s="57" t="str">
        <f aca="false">IF(N104="","",IF(N104=0,"Before trip",IF(TripStart="","",TripStart+N104-1)))</f>
        <v/>
      </c>
      <c r="P104" s="58" t="str">
        <f aca="false">IF(AND(D104="",I104=""),"",IF(OR(E104="",E104=HomeCcy),1,IFERROR(INDEX(Setup!$J$26:$J$33,MATCH(E104,Setup!$G$26:$G$33,0)),IFERROR(INDEX(Settings!$S$5:$S$64,MATCH(E104,Settings!$R$5:$R$64,0))/HomeINR,1))))</f>
        <v/>
      </c>
      <c r="Q104" s="34" t="str">
        <f aca="false">IF(D104="","",D104*P104)</f>
        <v/>
      </c>
      <c r="R104" s="34" t="str">
        <f aca="false">IF(I104="","",I104*P104)</f>
        <v/>
      </c>
      <c r="S104" s="33" t="n">
        <f aca="false">IF(H104="Cancelled",0,IF(R104&lt;&gt;"",R104,IF(Q104&lt;&gt;"",Q104,0)))</f>
        <v>0</v>
      </c>
      <c r="T104" s="45" t="str">
        <f aca="false">IF(S104=0,"",IF(SUM(AE104:AN104)=0,"⚠ nobody picked",COUNTIF(AE104:AN104,"&gt;0")&amp;" people"))</f>
        <v/>
      </c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60" t="n">
        <f aca="false">IF(OR($S104=0,Setup!$B$18=""),0,IF(OR($G104="",$G104="Everyone"),1,IF($G104="Custom",N(U104),IF(OR($G104=Setup!$B$18,AND(Setup!$C$18&lt;&gt;"",$G104=Setup!$C$18)),1,0))))</f>
        <v>0</v>
      </c>
      <c r="AF104" s="60" t="n">
        <f aca="false">IF(OR($S104=0,Setup!$B$19=""),0,IF(OR($G104="",$G104="Everyone"),1,IF($G104="Custom",N(V104),IF(OR($G104=Setup!$B$19,AND(Setup!$C$19&lt;&gt;"",$G104=Setup!$C$19)),1,0))))</f>
        <v>0</v>
      </c>
      <c r="AG104" s="60" t="n">
        <f aca="false">IF(OR($S104=0,Setup!$B$20=""),0,IF(OR($G104="",$G104="Everyone"),1,IF($G104="Custom",N(W104),IF(OR($G104=Setup!$B$20,AND(Setup!$C$20&lt;&gt;"",$G104=Setup!$C$20)),1,0))))</f>
        <v>0</v>
      </c>
      <c r="AH104" s="60" t="n">
        <f aca="false">IF(OR($S104=0,Setup!$B$21=""),0,IF(OR($G104="",$G104="Everyone"),1,IF($G104="Custom",N(X104),IF(OR($G104=Setup!$B$21,AND(Setup!$C$21&lt;&gt;"",$G104=Setup!$C$21)),1,0))))</f>
        <v>0</v>
      </c>
      <c r="AI104" s="60" t="n">
        <f aca="false">IF(OR($S104=0,Setup!$B$22=""),0,IF(OR($G104="",$G104="Everyone"),1,IF($G104="Custom",N(Y104),IF(OR($G104=Setup!$B$22,AND(Setup!$C$22&lt;&gt;"",$G104=Setup!$C$22)),1,0))))</f>
        <v>0</v>
      </c>
      <c r="AJ104" s="60" t="n">
        <f aca="false">IF(OR($S104=0,Setup!$B$23=""),0,IF(OR($G104="",$G104="Everyone"),1,IF($G104="Custom",N(Z104),IF(OR($G104=Setup!$B$23,AND(Setup!$C$23&lt;&gt;"",$G104=Setup!$C$23)),1,0))))</f>
        <v>0</v>
      </c>
      <c r="AK104" s="60" t="n">
        <f aca="false">IF(OR($S104=0,Setup!$B$24=""),0,IF(OR($G104="",$G104="Everyone"),1,IF($G104="Custom",N(AA104),IF(OR($G104=Setup!$B$24,AND(Setup!$C$24&lt;&gt;"",$G104=Setup!$C$24)),1,0))))</f>
        <v>0</v>
      </c>
      <c r="AL104" s="60" t="n">
        <f aca="false">IF(OR($S104=0,Setup!$B$25=""),0,IF(OR($G104="",$G104="Everyone"),1,IF($G104="Custom",N(AB104),IF(OR($G104=Setup!$B$25,AND(Setup!$C$25&lt;&gt;"",$G104=Setup!$C$25)),1,0))))</f>
        <v>0</v>
      </c>
      <c r="AM104" s="60" t="n">
        <f aca="false">IF(OR($S104=0,Setup!$B$26=""),0,IF(OR($G104="",$G104="Everyone"),1,IF($G104="Custom",N(AC104),IF(OR($G104=Setup!$B$26,AND(Setup!$C$26&lt;&gt;"",$G104=Setup!$C$26)),1,0))))</f>
        <v>0</v>
      </c>
      <c r="AN104" s="60" t="n">
        <f aca="false">IF(OR($S104=0,Setup!$B$27=""),0,IF(OR($G104="",$G104="Everyone"),1,IF($G104="Custom",N(AD104),IF(OR($G104=Setup!$B$27,AND(Setup!$C$27&lt;&gt;"",$G104=Setup!$C$27)),1,0))))</f>
        <v>0</v>
      </c>
      <c r="AO104" s="60" t="n">
        <f aca="false">IF(SUM(AE104:AN104)=0,1,SUM(AE104:AN104))</f>
        <v>1</v>
      </c>
      <c r="AP104" s="60" t="n">
        <f aca="false">IF(H104="Paid",1,0)</f>
        <v>0</v>
      </c>
      <c r="AQ104" s="60" t="n">
        <f aca="false">IF(AND(S104&gt;0,SUM(AE104:AN104)=0),S104,0)</f>
        <v>0</v>
      </c>
      <c r="AR104" s="60" t="str">
        <f aca="false">IF(AND(N104&lt;&gt;"",TodayDay&lt;&gt;"",N104=TodayDay),COUNTIF($N$6:N104,TodayDay),"")</f>
        <v/>
      </c>
      <c r="AS104" s="60" t="n">
        <f aca="false">IF(B104="",0,IF(COUNTIFS(Settings!$A$5:$A$29,B104,Settings!$B$5:$B$29,"Yes")&gt;0,1,0))</f>
        <v>0</v>
      </c>
      <c r="AT104" s="61" t="n">
        <f aca="false">IF(OR(N104="",TodayDay=""),IF(N104="",S104,0),IF(N104&lt;TodayDay,S104,0))</f>
        <v>0</v>
      </c>
    </row>
    <row r="105" customFormat="false" ht="15" hidden="false" customHeight="false" outlineLevel="0" collapsed="false">
      <c r="A105" s="23"/>
      <c r="B105" s="23"/>
      <c r="C105" s="23"/>
      <c r="D105" s="56"/>
      <c r="E105" s="23"/>
      <c r="F105" s="23"/>
      <c r="G105" s="23"/>
      <c r="H105" s="23"/>
      <c r="I105" s="56"/>
      <c r="J105" s="23"/>
      <c r="K105" s="28"/>
      <c r="L105" s="23"/>
      <c r="M105" s="23"/>
      <c r="N105" s="25" t="str">
        <f aca="false">IF(A105="","",IF(LEFT(A105,3)="Pre",0,IFERROR(VALUE(MID(A105,5,FIND(" ",A105&amp;" ",5)-5)),"")))</f>
        <v/>
      </c>
      <c r="O105" s="57" t="str">
        <f aca="false">IF(N105="","",IF(N105=0,"Before trip",IF(TripStart="","",TripStart+N105-1)))</f>
        <v/>
      </c>
      <c r="P105" s="58" t="str">
        <f aca="false">IF(AND(D105="",I105=""),"",IF(OR(E105="",E105=HomeCcy),1,IFERROR(INDEX(Setup!$J$26:$J$33,MATCH(E105,Setup!$G$26:$G$33,0)),IFERROR(INDEX(Settings!$S$5:$S$64,MATCH(E105,Settings!$R$5:$R$64,0))/HomeINR,1))))</f>
        <v/>
      </c>
      <c r="Q105" s="34" t="str">
        <f aca="false">IF(D105="","",D105*P105)</f>
        <v/>
      </c>
      <c r="R105" s="34" t="str">
        <f aca="false">IF(I105="","",I105*P105)</f>
        <v/>
      </c>
      <c r="S105" s="33" t="n">
        <f aca="false">IF(H105="Cancelled",0,IF(R105&lt;&gt;"",R105,IF(Q105&lt;&gt;"",Q105,0)))</f>
        <v>0</v>
      </c>
      <c r="T105" s="45" t="str">
        <f aca="false">IF(S105=0,"",IF(SUM(AE105:AN105)=0,"⚠ nobody picked",COUNTIF(AE105:AN105,"&gt;0")&amp;" people"))</f>
        <v/>
      </c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60" t="n">
        <f aca="false">IF(OR($S105=0,Setup!$B$18=""),0,IF(OR($G105="",$G105="Everyone"),1,IF($G105="Custom",N(U105),IF(OR($G105=Setup!$B$18,AND(Setup!$C$18&lt;&gt;"",$G105=Setup!$C$18)),1,0))))</f>
        <v>0</v>
      </c>
      <c r="AF105" s="60" t="n">
        <f aca="false">IF(OR($S105=0,Setup!$B$19=""),0,IF(OR($G105="",$G105="Everyone"),1,IF($G105="Custom",N(V105),IF(OR($G105=Setup!$B$19,AND(Setup!$C$19&lt;&gt;"",$G105=Setup!$C$19)),1,0))))</f>
        <v>0</v>
      </c>
      <c r="AG105" s="60" t="n">
        <f aca="false">IF(OR($S105=0,Setup!$B$20=""),0,IF(OR($G105="",$G105="Everyone"),1,IF($G105="Custom",N(W105),IF(OR($G105=Setup!$B$20,AND(Setup!$C$20&lt;&gt;"",$G105=Setup!$C$20)),1,0))))</f>
        <v>0</v>
      </c>
      <c r="AH105" s="60" t="n">
        <f aca="false">IF(OR($S105=0,Setup!$B$21=""),0,IF(OR($G105="",$G105="Everyone"),1,IF($G105="Custom",N(X105),IF(OR($G105=Setup!$B$21,AND(Setup!$C$21&lt;&gt;"",$G105=Setup!$C$21)),1,0))))</f>
        <v>0</v>
      </c>
      <c r="AI105" s="60" t="n">
        <f aca="false">IF(OR($S105=0,Setup!$B$22=""),0,IF(OR($G105="",$G105="Everyone"),1,IF($G105="Custom",N(Y105),IF(OR($G105=Setup!$B$22,AND(Setup!$C$22&lt;&gt;"",$G105=Setup!$C$22)),1,0))))</f>
        <v>0</v>
      </c>
      <c r="AJ105" s="60" t="n">
        <f aca="false">IF(OR($S105=0,Setup!$B$23=""),0,IF(OR($G105="",$G105="Everyone"),1,IF($G105="Custom",N(Z105),IF(OR($G105=Setup!$B$23,AND(Setup!$C$23&lt;&gt;"",$G105=Setup!$C$23)),1,0))))</f>
        <v>0</v>
      </c>
      <c r="AK105" s="60" t="n">
        <f aca="false">IF(OR($S105=0,Setup!$B$24=""),0,IF(OR($G105="",$G105="Everyone"),1,IF($G105="Custom",N(AA105),IF(OR($G105=Setup!$B$24,AND(Setup!$C$24&lt;&gt;"",$G105=Setup!$C$24)),1,0))))</f>
        <v>0</v>
      </c>
      <c r="AL105" s="60" t="n">
        <f aca="false">IF(OR($S105=0,Setup!$B$25=""),0,IF(OR($G105="",$G105="Everyone"),1,IF($G105="Custom",N(AB105),IF(OR($G105=Setup!$B$25,AND(Setup!$C$25&lt;&gt;"",$G105=Setup!$C$25)),1,0))))</f>
        <v>0</v>
      </c>
      <c r="AM105" s="60" t="n">
        <f aca="false">IF(OR($S105=0,Setup!$B$26=""),0,IF(OR($G105="",$G105="Everyone"),1,IF($G105="Custom",N(AC105),IF(OR($G105=Setup!$B$26,AND(Setup!$C$26&lt;&gt;"",$G105=Setup!$C$26)),1,0))))</f>
        <v>0</v>
      </c>
      <c r="AN105" s="60" t="n">
        <f aca="false">IF(OR($S105=0,Setup!$B$27=""),0,IF(OR($G105="",$G105="Everyone"),1,IF($G105="Custom",N(AD105),IF(OR($G105=Setup!$B$27,AND(Setup!$C$27&lt;&gt;"",$G105=Setup!$C$27)),1,0))))</f>
        <v>0</v>
      </c>
      <c r="AO105" s="60" t="n">
        <f aca="false">IF(SUM(AE105:AN105)=0,1,SUM(AE105:AN105))</f>
        <v>1</v>
      </c>
      <c r="AP105" s="60" t="n">
        <f aca="false">IF(H105="Paid",1,0)</f>
        <v>0</v>
      </c>
      <c r="AQ105" s="60" t="n">
        <f aca="false">IF(AND(S105&gt;0,SUM(AE105:AN105)=0),S105,0)</f>
        <v>0</v>
      </c>
      <c r="AR105" s="60" t="str">
        <f aca="false">IF(AND(N105&lt;&gt;"",TodayDay&lt;&gt;"",N105=TodayDay),COUNTIF($N$6:N105,TodayDay),"")</f>
        <v/>
      </c>
      <c r="AS105" s="60" t="n">
        <f aca="false">IF(B105="",0,IF(COUNTIFS(Settings!$A$5:$A$29,B105,Settings!$B$5:$B$29,"Yes")&gt;0,1,0))</f>
        <v>0</v>
      </c>
      <c r="AT105" s="61" t="n">
        <f aca="false">IF(OR(N105="",TodayDay=""),IF(N105="",S105,0),IF(N105&lt;TodayDay,S105,0))</f>
        <v>0</v>
      </c>
    </row>
    <row r="106" customFormat="false" ht="15" hidden="false" customHeight="false" outlineLevel="0" collapsed="false">
      <c r="A106" s="23"/>
      <c r="B106" s="23"/>
      <c r="C106" s="23"/>
      <c r="D106" s="56"/>
      <c r="E106" s="23"/>
      <c r="F106" s="23"/>
      <c r="G106" s="23"/>
      <c r="H106" s="23"/>
      <c r="I106" s="56"/>
      <c r="J106" s="23"/>
      <c r="K106" s="28"/>
      <c r="L106" s="23"/>
      <c r="M106" s="23"/>
      <c r="N106" s="25" t="str">
        <f aca="false">IF(A106="","",IF(LEFT(A106,3)="Pre",0,IFERROR(VALUE(MID(A106,5,FIND(" ",A106&amp;" ",5)-5)),"")))</f>
        <v/>
      </c>
      <c r="O106" s="57" t="str">
        <f aca="false">IF(N106="","",IF(N106=0,"Before trip",IF(TripStart="","",TripStart+N106-1)))</f>
        <v/>
      </c>
      <c r="P106" s="58" t="str">
        <f aca="false">IF(AND(D106="",I106=""),"",IF(OR(E106="",E106=HomeCcy),1,IFERROR(INDEX(Setup!$J$26:$J$33,MATCH(E106,Setup!$G$26:$G$33,0)),IFERROR(INDEX(Settings!$S$5:$S$64,MATCH(E106,Settings!$R$5:$R$64,0))/HomeINR,1))))</f>
        <v/>
      </c>
      <c r="Q106" s="34" t="str">
        <f aca="false">IF(D106="","",D106*P106)</f>
        <v/>
      </c>
      <c r="R106" s="34" t="str">
        <f aca="false">IF(I106="","",I106*P106)</f>
        <v/>
      </c>
      <c r="S106" s="33" t="n">
        <f aca="false">IF(H106="Cancelled",0,IF(R106&lt;&gt;"",R106,IF(Q106&lt;&gt;"",Q106,0)))</f>
        <v>0</v>
      </c>
      <c r="T106" s="45" t="str">
        <f aca="false">IF(S106=0,"",IF(SUM(AE106:AN106)=0,"⚠ nobody picked",COUNTIF(AE106:AN106,"&gt;0")&amp;" people"))</f>
        <v/>
      </c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60" t="n">
        <f aca="false">IF(OR($S106=0,Setup!$B$18=""),0,IF(OR($G106="",$G106="Everyone"),1,IF($G106="Custom",N(U106),IF(OR($G106=Setup!$B$18,AND(Setup!$C$18&lt;&gt;"",$G106=Setup!$C$18)),1,0))))</f>
        <v>0</v>
      </c>
      <c r="AF106" s="60" t="n">
        <f aca="false">IF(OR($S106=0,Setup!$B$19=""),0,IF(OR($G106="",$G106="Everyone"),1,IF($G106="Custom",N(V106),IF(OR($G106=Setup!$B$19,AND(Setup!$C$19&lt;&gt;"",$G106=Setup!$C$19)),1,0))))</f>
        <v>0</v>
      </c>
      <c r="AG106" s="60" t="n">
        <f aca="false">IF(OR($S106=0,Setup!$B$20=""),0,IF(OR($G106="",$G106="Everyone"),1,IF($G106="Custom",N(W106),IF(OR($G106=Setup!$B$20,AND(Setup!$C$20&lt;&gt;"",$G106=Setup!$C$20)),1,0))))</f>
        <v>0</v>
      </c>
      <c r="AH106" s="60" t="n">
        <f aca="false">IF(OR($S106=0,Setup!$B$21=""),0,IF(OR($G106="",$G106="Everyone"),1,IF($G106="Custom",N(X106),IF(OR($G106=Setup!$B$21,AND(Setup!$C$21&lt;&gt;"",$G106=Setup!$C$21)),1,0))))</f>
        <v>0</v>
      </c>
      <c r="AI106" s="60" t="n">
        <f aca="false">IF(OR($S106=0,Setup!$B$22=""),0,IF(OR($G106="",$G106="Everyone"),1,IF($G106="Custom",N(Y106),IF(OR($G106=Setup!$B$22,AND(Setup!$C$22&lt;&gt;"",$G106=Setup!$C$22)),1,0))))</f>
        <v>0</v>
      </c>
      <c r="AJ106" s="60" t="n">
        <f aca="false">IF(OR($S106=0,Setup!$B$23=""),0,IF(OR($G106="",$G106="Everyone"),1,IF($G106="Custom",N(Z106),IF(OR($G106=Setup!$B$23,AND(Setup!$C$23&lt;&gt;"",$G106=Setup!$C$23)),1,0))))</f>
        <v>0</v>
      </c>
      <c r="AK106" s="60" t="n">
        <f aca="false">IF(OR($S106=0,Setup!$B$24=""),0,IF(OR($G106="",$G106="Everyone"),1,IF($G106="Custom",N(AA106),IF(OR($G106=Setup!$B$24,AND(Setup!$C$24&lt;&gt;"",$G106=Setup!$C$24)),1,0))))</f>
        <v>0</v>
      </c>
      <c r="AL106" s="60" t="n">
        <f aca="false">IF(OR($S106=0,Setup!$B$25=""),0,IF(OR($G106="",$G106="Everyone"),1,IF($G106="Custom",N(AB106),IF(OR($G106=Setup!$B$25,AND(Setup!$C$25&lt;&gt;"",$G106=Setup!$C$25)),1,0))))</f>
        <v>0</v>
      </c>
      <c r="AM106" s="60" t="n">
        <f aca="false">IF(OR($S106=0,Setup!$B$26=""),0,IF(OR($G106="",$G106="Everyone"),1,IF($G106="Custom",N(AC106),IF(OR($G106=Setup!$B$26,AND(Setup!$C$26&lt;&gt;"",$G106=Setup!$C$26)),1,0))))</f>
        <v>0</v>
      </c>
      <c r="AN106" s="60" t="n">
        <f aca="false">IF(OR($S106=0,Setup!$B$27=""),0,IF(OR($G106="",$G106="Everyone"),1,IF($G106="Custom",N(AD106),IF(OR($G106=Setup!$B$27,AND(Setup!$C$27&lt;&gt;"",$G106=Setup!$C$27)),1,0))))</f>
        <v>0</v>
      </c>
      <c r="AO106" s="60" t="n">
        <f aca="false">IF(SUM(AE106:AN106)=0,1,SUM(AE106:AN106))</f>
        <v>1</v>
      </c>
      <c r="AP106" s="60" t="n">
        <f aca="false">IF(H106="Paid",1,0)</f>
        <v>0</v>
      </c>
      <c r="AQ106" s="60" t="n">
        <f aca="false">IF(AND(S106&gt;0,SUM(AE106:AN106)=0),S106,0)</f>
        <v>0</v>
      </c>
      <c r="AR106" s="60" t="str">
        <f aca="false">IF(AND(N106&lt;&gt;"",TodayDay&lt;&gt;"",N106=TodayDay),COUNTIF($N$6:N106,TodayDay),"")</f>
        <v/>
      </c>
      <c r="AS106" s="60" t="n">
        <f aca="false">IF(B106="",0,IF(COUNTIFS(Settings!$A$5:$A$29,B106,Settings!$B$5:$B$29,"Yes")&gt;0,1,0))</f>
        <v>0</v>
      </c>
      <c r="AT106" s="61" t="n">
        <f aca="false">IF(OR(N106="",TodayDay=""),IF(N106="",S106,0),IF(N106&lt;TodayDay,S106,0))</f>
        <v>0</v>
      </c>
    </row>
    <row r="107" customFormat="false" ht="15" hidden="false" customHeight="false" outlineLevel="0" collapsed="false">
      <c r="A107" s="23"/>
      <c r="B107" s="23"/>
      <c r="C107" s="23"/>
      <c r="D107" s="56"/>
      <c r="E107" s="23"/>
      <c r="F107" s="23"/>
      <c r="G107" s="23"/>
      <c r="H107" s="23"/>
      <c r="I107" s="56"/>
      <c r="J107" s="23"/>
      <c r="K107" s="28"/>
      <c r="L107" s="23"/>
      <c r="M107" s="23"/>
      <c r="N107" s="25" t="str">
        <f aca="false">IF(A107="","",IF(LEFT(A107,3)="Pre",0,IFERROR(VALUE(MID(A107,5,FIND(" ",A107&amp;" ",5)-5)),"")))</f>
        <v/>
      </c>
      <c r="O107" s="57" t="str">
        <f aca="false">IF(N107="","",IF(N107=0,"Before trip",IF(TripStart="","",TripStart+N107-1)))</f>
        <v/>
      </c>
      <c r="P107" s="58" t="str">
        <f aca="false">IF(AND(D107="",I107=""),"",IF(OR(E107="",E107=HomeCcy),1,IFERROR(INDEX(Setup!$J$26:$J$33,MATCH(E107,Setup!$G$26:$G$33,0)),IFERROR(INDEX(Settings!$S$5:$S$64,MATCH(E107,Settings!$R$5:$R$64,0))/HomeINR,1))))</f>
        <v/>
      </c>
      <c r="Q107" s="34" t="str">
        <f aca="false">IF(D107="","",D107*P107)</f>
        <v/>
      </c>
      <c r="R107" s="34" t="str">
        <f aca="false">IF(I107="","",I107*P107)</f>
        <v/>
      </c>
      <c r="S107" s="33" t="n">
        <f aca="false">IF(H107="Cancelled",0,IF(R107&lt;&gt;"",R107,IF(Q107&lt;&gt;"",Q107,0)))</f>
        <v>0</v>
      </c>
      <c r="T107" s="45" t="str">
        <f aca="false">IF(S107=0,"",IF(SUM(AE107:AN107)=0,"⚠ nobody picked",COUNTIF(AE107:AN107,"&gt;0")&amp;" people"))</f>
        <v/>
      </c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60" t="n">
        <f aca="false">IF(OR($S107=0,Setup!$B$18=""),0,IF(OR($G107="",$G107="Everyone"),1,IF($G107="Custom",N(U107),IF(OR($G107=Setup!$B$18,AND(Setup!$C$18&lt;&gt;"",$G107=Setup!$C$18)),1,0))))</f>
        <v>0</v>
      </c>
      <c r="AF107" s="60" t="n">
        <f aca="false">IF(OR($S107=0,Setup!$B$19=""),0,IF(OR($G107="",$G107="Everyone"),1,IF($G107="Custom",N(V107),IF(OR($G107=Setup!$B$19,AND(Setup!$C$19&lt;&gt;"",$G107=Setup!$C$19)),1,0))))</f>
        <v>0</v>
      </c>
      <c r="AG107" s="60" t="n">
        <f aca="false">IF(OR($S107=0,Setup!$B$20=""),0,IF(OR($G107="",$G107="Everyone"),1,IF($G107="Custom",N(W107),IF(OR($G107=Setup!$B$20,AND(Setup!$C$20&lt;&gt;"",$G107=Setup!$C$20)),1,0))))</f>
        <v>0</v>
      </c>
      <c r="AH107" s="60" t="n">
        <f aca="false">IF(OR($S107=0,Setup!$B$21=""),0,IF(OR($G107="",$G107="Everyone"),1,IF($G107="Custom",N(X107),IF(OR($G107=Setup!$B$21,AND(Setup!$C$21&lt;&gt;"",$G107=Setup!$C$21)),1,0))))</f>
        <v>0</v>
      </c>
      <c r="AI107" s="60" t="n">
        <f aca="false">IF(OR($S107=0,Setup!$B$22=""),0,IF(OR($G107="",$G107="Everyone"),1,IF($G107="Custom",N(Y107),IF(OR($G107=Setup!$B$22,AND(Setup!$C$22&lt;&gt;"",$G107=Setup!$C$22)),1,0))))</f>
        <v>0</v>
      </c>
      <c r="AJ107" s="60" t="n">
        <f aca="false">IF(OR($S107=0,Setup!$B$23=""),0,IF(OR($G107="",$G107="Everyone"),1,IF($G107="Custom",N(Z107),IF(OR($G107=Setup!$B$23,AND(Setup!$C$23&lt;&gt;"",$G107=Setup!$C$23)),1,0))))</f>
        <v>0</v>
      </c>
      <c r="AK107" s="60" t="n">
        <f aca="false">IF(OR($S107=0,Setup!$B$24=""),0,IF(OR($G107="",$G107="Everyone"),1,IF($G107="Custom",N(AA107),IF(OR($G107=Setup!$B$24,AND(Setup!$C$24&lt;&gt;"",$G107=Setup!$C$24)),1,0))))</f>
        <v>0</v>
      </c>
      <c r="AL107" s="60" t="n">
        <f aca="false">IF(OR($S107=0,Setup!$B$25=""),0,IF(OR($G107="",$G107="Everyone"),1,IF($G107="Custom",N(AB107),IF(OR($G107=Setup!$B$25,AND(Setup!$C$25&lt;&gt;"",$G107=Setup!$C$25)),1,0))))</f>
        <v>0</v>
      </c>
      <c r="AM107" s="60" t="n">
        <f aca="false">IF(OR($S107=0,Setup!$B$26=""),0,IF(OR($G107="",$G107="Everyone"),1,IF($G107="Custom",N(AC107),IF(OR($G107=Setup!$B$26,AND(Setup!$C$26&lt;&gt;"",$G107=Setup!$C$26)),1,0))))</f>
        <v>0</v>
      </c>
      <c r="AN107" s="60" t="n">
        <f aca="false">IF(OR($S107=0,Setup!$B$27=""),0,IF(OR($G107="",$G107="Everyone"),1,IF($G107="Custom",N(AD107),IF(OR($G107=Setup!$B$27,AND(Setup!$C$27&lt;&gt;"",$G107=Setup!$C$27)),1,0))))</f>
        <v>0</v>
      </c>
      <c r="AO107" s="60" t="n">
        <f aca="false">IF(SUM(AE107:AN107)=0,1,SUM(AE107:AN107))</f>
        <v>1</v>
      </c>
      <c r="AP107" s="60" t="n">
        <f aca="false">IF(H107="Paid",1,0)</f>
        <v>0</v>
      </c>
      <c r="AQ107" s="60" t="n">
        <f aca="false">IF(AND(S107&gt;0,SUM(AE107:AN107)=0),S107,0)</f>
        <v>0</v>
      </c>
      <c r="AR107" s="60" t="str">
        <f aca="false">IF(AND(N107&lt;&gt;"",TodayDay&lt;&gt;"",N107=TodayDay),COUNTIF($N$6:N107,TodayDay),"")</f>
        <v/>
      </c>
      <c r="AS107" s="60" t="n">
        <f aca="false">IF(B107="",0,IF(COUNTIFS(Settings!$A$5:$A$29,B107,Settings!$B$5:$B$29,"Yes")&gt;0,1,0))</f>
        <v>0</v>
      </c>
      <c r="AT107" s="61" t="n">
        <f aca="false">IF(OR(N107="",TodayDay=""),IF(N107="",S107,0),IF(N107&lt;TodayDay,S107,0))</f>
        <v>0</v>
      </c>
    </row>
    <row r="108" customFormat="false" ht="15" hidden="false" customHeight="false" outlineLevel="0" collapsed="false">
      <c r="A108" s="23"/>
      <c r="B108" s="23"/>
      <c r="C108" s="23"/>
      <c r="D108" s="56"/>
      <c r="E108" s="23"/>
      <c r="F108" s="23"/>
      <c r="G108" s="23"/>
      <c r="H108" s="23"/>
      <c r="I108" s="56"/>
      <c r="J108" s="23"/>
      <c r="K108" s="28"/>
      <c r="L108" s="23"/>
      <c r="M108" s="23"/>
      <c r="N108" s="25" t="str">
        <f aca="false">IF(A108="","",IF(LEFT(A108,3)="Pre",0,IFERROR(VALUE(MID(A108,5,FIND(" ",A108&amp;" ",5)-5)),"")))</f>
        <v/>
      </c>
      <c r="O108" s="57" t="str">
        <f aca="false">IF(N108="","",IF(N108=0,"Before trip",IF(TripStart="","",TripStart+N108-1)))</f>
        <v/>
      </c>
      <c r="P108" s="58" t="str">
        <f aca="false">IF(AND(D108="",I108=""),"",IF(OR(E108="",E108=HomeCcy),1,IFERROR(INDEX(Setup!$J$26:$J$33,MATCH(E108,Setup!$G$26:$G$33,0)),IFERROR(INDEX(Settings!$S$5:$S$64,MATCH(E108,Settings!$R$5:$R$64,0))/HomeINR,1))))</f>
        <v/>
      </c>
      <c r="Q108" s="34" t="str">
        <f aca="false">IF(D108="","",D108*P108)</f>
        <v/>
      </c>
      <c r="R108" s="34" t="str">
        <f aca="false">IF(I108="","",I108*P108)</f>
        <v/>
      </c>
      <c r="S108" s="33" t="n">
        <f aca="false">IF(H108="Cancelled",0,IF(R108&lt;&gt;"",R108,IF(Q108&lt;&gt;"",Q108,0)))</f>
        <v>0</v>
      </c>
      <c r="T108" s="45" t="str">
        <f aca="false">IF(S108=0,"",IF(SUM(AE108:AN108)=0,"⚠ nobody picked",COUNTIF(AE108:AN108,"&gt;0")&amp;" people"))</f>
        <v/>
      </c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60" t="n">
        <f aca="false">IF(OR($S108=0,Setup!$B$18=""),0,IF(OR($G108="",$G108="Everyone"),1,IF($G108="Custom",N(U108),IF(OR($G108=Setup!$B$18,AND(Setup!$C$18&lt;&gt;"",$G108=Setup!$C$18)),1,0))))</f>
        <v>0</v>
      </c>
      <c r="AF108" s="60" t="n">
        <f aca="false">IF(OR($S108=0,Setup!$B$19=""),0,IF(OR($G108="",$G108="Everyone"),1,IF($G108="Custom",N(V108),IF(OR($G108=Setup!$B$19,AND(Setup!$C$19&lt;&gt;"",$G108=Setup!$C$19)),1,0))))</f>
        <v>0</v>
      </c>
      <c r="AG108" s="60" t="n">
        <f aca="false">IF(OR($S108=0,Setup!$B$20=""),0,IF(OR($G108="",$G108="Everyone"),1,IF($G108="Custom",N(W108),IF(OR($G108=Setup!$B$20,AND(Setup!$C$20&lt;&gt;"",$G108=Setup!$C$20)),1,0))))</f>
        <v>0</v>
      </c>
      <c r="AH108" s="60" t="n">
        <f aca="false">IF(OR($S108=0,Setup!$B$21=""),0,IF(OR($G108="",$G108="Everyone"),1,IF($G108="Custom",N(X108),IF(OR($G108=Setup!$B$21,AND(Setup!$C$21&lt;&gt;"",$G108=Setup!$C$21)),1,0))))</f>
        <v>0</v>
      </c>
      <c r="AI108" s="60" t="n">
        <f aca="false">IF(OR($S108=0,Setup!$B$22=""),0,IF(OR($G108="",$G108="Everyone"),1,IF($G108="Custom",N(Y108),IF(OR($G108=Setup!$B$22,AND(Setup!$C$22&lt;&gt;"",$G108=Setup!$C$22)),1,0))))</f>
        <v>0</v>
      </c>
      <c r="AJ108" s="60" t="n">
        <f aca="false">IF(OR($S108=0,Setup!$B$23=""),0,IF(OR($G108="",$G108="Everyone"),1,IF($G108="Custom",N(Z108),IF(OR($G108=Setup!$B$23,AND(Setup!$C$23&lt;&gt;"",$G108=Setup!$C$23)),1,0))))</f>
        <v>0</v>
      </c>
      <c r="AK108" s="60" t="n">
        <f aca="false">IF(OR($S108=0,Setup!$B$24=""),0,IF(OR($G108="",$G108="Everyone"),1,IF($G108="Custom",N(AA108),IF(OR($G108=Setup!$B$24,AND(Setup!$C$24&lt;&gt;"",$G108=Setup!$C$24)),1,0))))</f>
        <v>0</v>
      </c>
      <c r="AL108" s="60" t="n">
        <f aca="false">IF(OR($S108=0,Setup!$B$25=""),0,IF(OR($G108="",$G108="Everyone"),1,IF($G108="Custom",N(AB108),IF(OR($G108=Setup!$B$25,AND(Setup!$C$25&lt;&gt;"",$G108=Setup!$C$25)),1,0))))</f>
        <v>0</v>
      </c>
      <c r="AM108" s="60" t="n">
        <f aca="false">IF(OR($S108=0,Setup!$B$26=""),0,IF(OR($G108="",$G108="Everyone"),1,IF($G108="Custom",N(AC108),IF(OR($G108=Setup!$B$26,AND(Setup!$C$26&lt;&gt;"",$G108=Setup!$C$26)),1,0))))</f>
        <v>0</v>
      </c>
      <c r="AN108" s="60" t="n">
        <f aca="false">IF(OR($S108=0,Setup!$B$27=""),0,IF(OR($G108="",$G108="Everyone"),1,IF($G108="Custom",N(AD108),IF(OR($G108=Setup!$B$27,AND(Setup!$C$27&lt;&gt;"",$G108=Setup!$C$27)),1,0))))</f>
        <v>0</v>
      </c>
      <c r="AO108" s="60" t="n">
        <f aca="false">IF(SUM(AE108:AN108)=0,1,SUM(AE108:AN108))</f>
        <v>1</v>
      </c>
      <c r="AP108" s="60" t="n">
        <f aca="false">IF(H108="Paid",1,0)</f>
        <v>0</v>
      </c>
      <c r="AQ108" s="60" t="n">
        <f aca="false">IF(AND(S108&gt;0,SUM(AE108:AN108)=0),S108,0)</f>
        <v>0</v>
      </c>
      <c r="AR108" s="60" t="str">
        <f aca="false">IF(AND(N108&lt;&gt;"",TodayDay&lt;&gt;"",N108=TodayDay),COUNTIF($N$6:N108,TodayDay),"")</f>
        <v/>
      </c>
      <c r="AS108" s="60" t="n">
        <f aca="false">IF(B108="",0,IF(COUNTIFS(Settings!$A$5:$A$29,B108,Settings!$B$5:$B$29,"Yes")&gt;0,1,0))</f>
        <v>0</v>
      </c>
      <c r="AT108" s="61" t="n">
        <f aca="false">IF(OR(N108="",TodayDay=""),IF(N108="",S108,0),IF(N108&lt;TodayDay,S108,0))</f>
        <v>0</v>
      </c>
    </row>
    <row r="109" customFormat="false" ht="15" hidden="false" customHeight="false" outlineLevel="0" collapsed="false">
      <c r="A109" s="23"/>
      <c r="B109" s="23"/>
      <c r="C109" s="23"/>
      <c r="D109" s="56"/>
      <c r="E109" s="23"/>
      <c r="F109" s="23"/>
      <c r="G109" s="23"/>
      <c r="H109" s="23"/>
      <c r="I109" s="56"/>
      <c r="J109" s="23"/>
      <c r="K109" s="28"/>
      <c r="L109" s="23"/>
      <c r="M109" s="23"/>
      <c r="N109" s="25" t="str">
        <f aca="false">IF(A109="","",IF(LEFT(A109,3)="Pre",0,IFERROR(VALUE(MID(A109,5,FIND(" ",A109&amp;" ",5)-5)),"")))</f>
        <v/>
      </c>
      <c r="O109" s="57" t="str">
        <f aca="false">IF(N109="","",IF(N109=0,"Before trip",IF(TripStart="","",TripStart+N109-1)))</f>
        <v/>
      </c>
      <c r="P109" s="58" t="str">
        <f aca="false">IF(AND(D109="",I109=""),"",IF(OR(E109="",E109=HomeCcy),1,IFERROR(INDEX(Setup!$J$26:$J$33,MATCH(E109,Setup!$G$26:$G$33,0)),IFERROR(INDEX(Settings!$S$5:$S$64,MATCH(E109,Settings!$R$5:$R$64,0))/HomeINR,1))))</f>
        <v/>
      </c>
      <c r="Q109" s="34" t="str">
        <f aca="false">IF(D109="","",D109*P109)</f>
        <v/>
      </c>
      <c r="R109" s="34" t="str">
        <f aca="false">IF(I109="","",I109*P109)</f>
        <v/>
      </c>
      <c r="S109" s="33" t="n">
        <f aca="false">IF(H109="Cancelled",0,IF(R109&lt;&gt;"",R109,IF(Q109&lt;&gt;"",Q109,0)))</f>
        <v>0</v>
      </c>
      <c r="T109" s="45" t="str">
        <f aca="false">IF(S109=0,"",IF(SUM(AE109:AN109)=0,"⚠ nobody picked",COUNTIF(AE109:AN109,"&gt;0")&amp;" people"))</f>
        <v/>
      </c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60" t="n">
        <f aca="false">IF(OR($S109=0,Setup!$B$18=""),0,IF(OR($G109="",$G109="Everyone"),1,IF($G109="Custom",N(U109),IF(OR($G109=Setup!$B$18,AND(Setup!$C$18&lt;&gt;"",$G109=Setup!$C$18)),1,0))))</f>
        <v>0</v>
      </c>
      <c r="AF109" s="60" t="n">
        <f aca="false">IF(OR($S109=0,Setup!$B$19=""),0,IF(OR($G109="",$G109="Everyone"),1,IF($G109="Custom",N(V109),IF(OR($G109=Setup!$B$19,AND(Setup!$C$19&lt;&gt;"",$G109=Setup!$C$19)),1,0))))</f>
        <v>0</v>
      </c>
      <c r="AG109" s="60" t="n">
        <f aca="false">IF(OR($S109=0,Setup!$B$20=""),0,IF(OR($G109="",$G109="Everyone"),1,IF($G109="Custom",N(W109),IF(OR($G109=Setup!$B$20,AND(Setup!$C$20&lt;&gt;"",$G109=Setup!$C$20)),1,0))))</f>
        <v>0</v>
      </c>
      <c r="AH109" s="60" t="n">
        <f aca="false">IF(OR($S109=0,Setup!$B$21=""),0,IF(OR($G109="",$G109="Everyone"),1,IF($G109="Custom",N(X109),IF(OR($G109=Setup!$B$21,AND(Setup!$C$21&lt;&gt;"",$G109=Setup!$C$21)),1,0))))</f>
        <v>0</v>
      </c>
      <c r="AI109" s="60" t="n">
        <f aca="false">IF(OR($S109=0,Setup!$B$22=""),0,IF(OR($G109="",$G109="Everyone"),1,IF($G109="Custom",N(Y109),IF(OR($G109=Setup!$B$22,AND(Setup!$C$22&lt;&gt;"",$G109=Setup!$C$22)),1,0))))</f>
        <v>0</v>
      </c>
      <c r="AJ109" s="60" t="n">
        <f aca="false">IF(OR($S109=0,Setup!$B$23=""),0,IF(OR($G109="",$G109="Everyone"),1,IF($G109="Custom",N(Z109),IF(OR($G109=Setup!$B$23,AND(Setup!$C$23&lt;&gt;"",$G109=Setup!$C$23)),1,0))))</f>
        <v>0</v>
      </c>
      <c r="AK109" s="60" t="n">
        <f aca="false">IF(OR($S109=0,Setup!$B$24=""),0,IF(OR($G109="",$G109="Everyone"),1,IF($G109="Custom",N(AA109),IF(OR($G109=Setup!$B$24,AND(Setup!$C$24&lt;&gt;"",$G109=Setup!$C$24)),1,0))))</f>
        <v>0</v>
      </c>
      <c r="AL109" s="60" t="n">
        <f aca="false">IF(OR($S109=0,Setup!$B$25=""),0,IF(OR($G109="",$G109="Everyone"),1,IF($G109="Custom",N(AB109),IF(OR($G109=Setup!$B$25,AND(Setup!$C$25&lt;&gt;"",$G109=Setup!$C$25)),1,0))))</f>
        <v>0</v>
      </c>
      <c r="AM109" s="60" t="n">
        <f aca="false">IF(OR($S109=0,Setup!$B$26=""),0,IF(OR($G109="",$G109="Everyone"),1,IF($G109="Custom",N(AC109),IF(OR($G109=Setup!$B$26,AND(Setup!$C$26&lt;&gt;"",$G109=Setup!$C$26)),1,0))))</f>
        <v>0</v>
      </c>
      <c r="AN109" s="60" t="n">
        <f aca="false">IF(OR($S109=0,Setup!$B$27=""),0,IF(OR($G109="",$G109="Everyone"),1,IF($G109="Custom",N(AD109),IF(OR($G109=Setup!$B$27,AND(Setup!$C$27&lt;&gt;"",$G109=Setup!$C$27)),1,0))))</f>
        <v>0</v>
      </c>
      <c r="AO109" s="60" t="n">
        <f aca="false">IF(SUM(AE109:AN109)=0,1,SUM(AE109:AN109))</f>
        <v>1</v>
      </c>
      <c r="AP109" s="60" t="n">
        <f aca="false">IF(H109="Paid",1,0)</f>
        <v>0</v>
      </c>
      <c r="AQ109" s="60" t="n">
        <f aca="false">IF(AND(S109&gt;0,SUM(AE109:AN109)=0),S109,0)</f>
        <v>0</v>
      </c>
      <c r="AR109" s="60" t="str">
        <f aca="false">IF(AND(N109&lt;&gt;"",TodayDay&lt;&gt;"",N109=TodayDay),COUNTIF($N$6:N109,TodayDay),"")</f>
        <v/>
      </c>
      <c r="AS109" s="60" t="n">
        <f aca="false">IF(B109="",0,IF(COUNTIFS(Settings!$A$5:$A$29,B109,Settings!$B$5:$B$29,"Yes")&gt;0,1,0))</f>
        <v>0</v>
      </c>
      <c r="AT109" s="61" t="n">
        <f aca="false">IF(OR(N109="",TodayDay=""),IF(N109="",S109,0),IF(N109&lt;TodayDay,S109,0))</f>
        <v>0</v>
      </c>
    </row>
    <row r="110" customFormat="false" ht="15" hidden="false" customHeight="false" outlineLevel="0" collapsed="false">
      <c r="A110" s="23"/>
      <c r="B110" s="23"/>
      <c r="C110" s="23"/>
      <c r="D110" s="56"/>
      <c r="E110" s="23"/>
      <c r="F110" s="23"/>
      <c r="G110" s="23"/>
      <c r="H110" s="23"/>
      <c r="I110" s="56"/>
      <c r="J110" s="23"/>
      <c r="K110" s="28"/>
      <c r="L110" s="23"/>
      <c r="M110" s="23"/>
      <c r="N110" s="25" t="str">
        <f aca="false">IF(A110="","",IF(LEFT(A110,3)="Pre",0,IFERROR(VALUE(MID(A110,5,FIND(" ",A110&amp;" ",5)-5)),"")))</f>
        <v/>
      </c>
      <c r="O110" s="57" t="str">
        <f aca="false">IF(N110="","",IF(N110=0,"Before trip",IF(TripStart="","",TripStart+N110-1)))</f>
        <v/>
      </c>
      <c r="P110" s="58" t="str">
        <f aca="false">IF(AND(D110="",I110=""),"",IF(OR(E110="",E110=HomeCcy),1,IFERROR(INDEX(Setup!$J$26:$J$33,MATCH(E110,Setup!$G$26:$G$33,0)),IFERROR(INDEX(Settings!$S$5:$S$64,MATCH(E110,Settings!$R$5:$R$64,0))/HomeINR,1))))</f>
        <v/>
      </c>
      <c r="Q110" s="34" t="str">
        <f aca="false">IF(D110="","",D110*P110)</f>
        <v/>
      </c>
      <c r="R110" s="34" t="str">
        <f aca="false">IF(I110="","",I110*P110)</f>
        <v/>
      </c>
      <c r="S110" s="33" t="n">
        <f aca="false">IF(H110="Cancelled",0,IF(R110&lt;&gt;"",R110,IF(Q110&lt;&gt;"",Q110,0)))</f>
        <v>0</v>
      </c>
      <c r="T110" s="45" t="str">
        <f aca="false">IF(S110=0,"",IF(SUM(AE110:AN110)=0,"⚠ nobody picked",COUNTIF(AE110:AN110,"&gt;0")&amp;" people"))</f>
        <v/>
      </c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60" t="n">
        <f aca="false">IF(OR($S110=0,Setup!$B$18=""),0,IF(OR($G110="",$G110="Everyone"),1,IF($G110="Custom",N(U110),IF(OR($G110=Setup!$B$18,AND(Setup!$C$18&lt;&gt;"",$G110=Setup!$C$18)),1,0))))</f>
        <v>0</v>
      </c>
      <c r="AF110" s="60" t="n">
        <f aca="false">IF(OR($S110=0,Setup!$B$19=""),0,IF(OR($G110="",$G110="Everyone"),1,IF($G110="Custom",N(V110),IF(OR($G110=Setup!$B$19,AND(Setup!$C$19&lt;&gt;"",$G110=Setup!$C$19)),1,0))))</f>
        <v>0</v>
      </c>
      <c r="AG110" s="60" t="n">
        <f aca="false">IF(OR($S110=0,Setup!$B$20=""),0,IF(OR($G110="",$G110="Everyone"),1,IF($G110="Custom",N(W110),IF(OR($G110=Setup!$B$20,AND(Setup!$C$20&lt;&gt;"",$G110=Setup!$C$20)),1,0))))</f>
        <v>0</v>
      </c>
      <c r="AH110" s="60" t="n">
        <f aca="false">IF(OR($S110=0,Setup!$B$21=""),0,IF(OR($G110="",$G110="Everyone"),1,IF($G110="Custom",N(X110),IF(OR($G110=Setup!$B$21,AND(Setup!$C$21&lt;&gt;"",$G110=Setup!$C$21)),1,0))))</f>
        <v>0</v>
      </c>
      <c r="AI110" s="60" t="n">
        <f aca="false">IF(OR($S110=0,Setup!$B$22=""),0,IF(OR($G110="",$G110="Everyone"),1,IF($G110="Custom",N(Y110),IF(OR($G110=Setup!$B$22,AND(Setup!$C$22&lt;&gt;"",$G110=Setup!$C$22)),1,0))))</f>
        <v>0</v>
      </c>
      <c r="AJ110" s="60" t="n">
        <f aca="false">IF(OR($S110=0,Setup!$B$23=""),0,IF(OR($G110="",$G110="Everyone"),1,IF($G110="Custom",N(Z110),IF(OR($G110=Setup!$B$23,AND(Setup!$C$23&lt;&gt;"",$G110=Setup!$C$23)),1,0))))</f>
        <v>0</v>
      </c>
      <c r="AK110" s="60" t="n">
        <f aca="false">IF(OR($S110=0,Setup!$B$24=""),0,IF(OR($G110="",$G110="Everyone"),1,IF($G110="Custom",N(AA110),IF(OR($G110=Setup!$B$24,AND(Setup!$C$24&lt;&gt;"",$G110=Setup!$C$24)),1,0))))</f>
        <v>0</v>
      </c>
      <c r="AL110" s="60" t="n">
        <f aca="false">IF(OR($S110=0,Setup!$B$25=""),0,IF(OR($G110="",$G110="Everyone"),1,IF($G110="Custom",N(AB110),IF(OR($G110=Setup!$B$25,AND(Setup!$C$25&lt;&gt;"",$G110=Setup!$C$25)),1,0))))</f>
        <v>0</v>
      </c>
      <c r="AM110" s="60" t="n">
        <f aca="false">IF(OR($S110=0,Setup!$B$26=""),0,IF(OR($G110="",$G110="Everyone"),1,IF($G110="Custom",N(AC110),IF(OR($G110=Setup!$B$26,AND(Setup!$C$26&lt;&gt;"",$G110=Setup!$C$26)),1,0))))</f>
        <v>0</v>
      </c>
      <c r="AN110" s="60" t="n">
        <f aca="false">IF(OR($S110=0,Setup!$B$27=""),0,IF(OR($G110="",$G110="Everyone"),1,IF($G110="Custom",N(AD110),IF(OR($G110=Setup!$B$27,AND(Setup!$C$27&lt;&gt;"",$G110=Setup!$C$27)),1,0))))</f>
        <v>0</v>
      </c>
      <c r="AO110" s="60" t="n">
        <f aca="false">IF(SUM(AE110:AN110)=0,1,SUM(AE110:AN110))</f>
        <v>1</v>
      </c>
      <c r="AP110" s="60" t="n">
        <f aca="false">IF(H110="Paid",1,0)</f>
        <v>0</v>
      </c>
      <c r="AQ110" s="60" t="n">
        <f aca="false">IF(AND(S110&gt;0,SUM(AE110:AN110)=0),S110,0)</f>
        <v>0</v>
      </c>
      <c r="AR110" s="60" t="str">
        <f aca="false">IF(AND(N110&lt;&gt;"",TodayDay&lt;&gt;"",N110=TodayDay),COUNTIF($N$6:N110,TodayDay),"")</f>
        <v/>
      </c>
      <c r="AS110" s="60" t="n">
        <f aca="false">IF(B110="",0,IF(COUNTIFS(Settings!$A$5:$A$29,B110,Settings!$B$5:$B$29,"Yes")&gt;0,1,0))</f>
        <v>0</v>
      </c>
      <c r="AT110" s="61" t="n">
        <f aca="false">IF(OR(N110="",TodayDay=""),IF(N110="",S110,0),IF(N110&lt;TodayDay,S110,0))</f>
        <v>0</v>
      </c>
    </row>
    <row r="111" customFormat="false" ht="15" hidden="false" customHeight="false" outlineLevel="0" collapsed="false">
      <c r="A111" s="23"/>
      <c r="B111" s="23"/>
      <c r="C111" s="23"/>
      <c r="D111" s="56"/>
      <c r="E111" s="23"/>
      <c r="F111" s="23"/>
      <c r="G111" s="23"/>
      <c r="H111" s="23"/>
      <c r="I111" s="56"/>
      <c r="J111" s="23"/>
      <c r="K111" s="28"/>
      <c r="L111" s="23"/>
      <c r="M111" s="23"/>
      <c r="N111" s="25" t="str">
        <f aca="false">IF(A111="","",IF(LEFT(A111,3)="Pre",0,IFERROR(VALUE(MID(A111,5,FIND(" ",A111&amp;" ",5)-5)),"")))</f>
        <v/>
      </c>
      <c r="O111" s="57" t="str">
        <f aca="false">IF(N111="","",IF(N111=0,"Before trip",IF(TripStart="","",TripStart+N111-1)))</f>
        <v/>
      </c>
      <c r="P111" s="58" t="str">
        <f aca="false">IF(AND(D111="",I111=""),"",IF(OR(E111="",E111=HomeCcy),1,IFERROR(INDEX(Setup!$J$26:$J$33,MATCH(E111,Setup!$G$26:$G$33,0)),IFERROR(INDEX(Settings!$S$5:$S$64,MATCH(E111,Settings!$R$5:$R$64,0))/HomeINR,1))))</f>
        <v/>
      </c>
      <c r="Q111" s="34" t="str">
        <f aca="false">IF(D111="","",D111*P111)</f>
        <v/>
      </c>
      <c r="R111" s="34" t="str">
        <f aca="false">IF(I111="","",I111*P111)</f>
        <v/>
      </c>
      <c r="S111" s="33" t="n">
        <f aca="false">IF(H111="Cancelled",0,IF(R111&lt;&gt;"",R111,IF(Q111&lt;&gt;"",Q111,0)))</f>
        <v>0</v>
      </c>
      <c r="T111" s="45" t="str">
        <f aca="false">IF(S111=0,"",IF(SUM(AE111:AN111)=0,"⚠ nobody picked",COUNTIF(AE111:AN111,"&gt;0")&amp;" people"))</f>
        <v/>
      </c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60" t="n">
        <f aca="false">IF(OR($S111=0,Setup!$B$18=""),0,IF(OR($G111="",$G111="Everyone"),1,IF($G111="Custom",N(U111),IF(OR($G111=Setup!$B$18,AND(Setup!$C$18&lt;&gt;"",$G111=Setup!$C$18)),1,0))))</f>
        <v>0</v>
      </c>
      <c r="AF111" s="60" t="n">
        <f aca="false">IF(OR($S111=0,Setup!$B$19=""),0,IF(OR($G111="",$G111="Everyone"),1,IF($G111="Custom",N(V111),IF(OR($G111=Setup!$B$19,AND(Setup!$C$19&lt;&gt;"",$G111=Setup!$C$19)),1,0))))</f>
        <v>0</v>
      </c>
      <c r="AG111" s="60" t="n">
        <f aca="false">IF(OR($S111=0,Setup!$B$20=""),0,IF(OR($G111="",$G111="Everyone"),1,IF($G111="Custom",N(W111),IF(OR($G111=Setup!$B$20,AND(Setup!$C$20&lt;&gt;"",$G111=Setup!$C$20)),1,0))))</f>
        <v>0</v>
      </c>
      <c r="AH111" s="60" t="n">
        <f aca="false">IF(OR($S111=0,Setup!$B$21=""),0,IF(OR($G111="",$G111="Everyone"),1,IF($G111="Custom",N(X111),IF(OR($G111=Setup!$B$21,AND(Setup!$C$21&lt;&gt;"",$G111=Setup!$C$21)),1,0))))</f>
        <v>0</v>
      </c>
      <c r="AI111" s="60" t="n">
        <f aca="false">IF(OR($S111=0,Setup!$B$22=""),0,IF(OR($G111="",$G111="Everyone"),1,IF($G111="Custom",N(Y111),IF(OR($G111=Setup!$B$22,AND(Setup!$C$22&lt;&gt;"",$G111=Setup!$C$22)),1,0))))</f>
        <v>0</v>
      </c>
      <c r="AJ111" s="60" t="n">
        <f aca="false">IF(OR($S111=0,Setup!$B$23=""),0,IF(OR($G111="",$G111="Everyone"),1,IF($G111="Custom",N(Z111),IF(OR($G111=Setup!$B$23,AND(Setup!$C$23&lt;&gt;"",$G111=Setup!$C$23)),1,0))))</f>
        <v>0</v>
      </c>
      <c r="AK111" s="60" t="n">
        <f aca="false">IF(OR($S111=0,Setup!$B$24=""),0,IF(OR($G111="",$G111="Everyone"),1,IF($G111="Custom",N(AA111),IF(OR($G111=Setup!$B$24,AND(Setup!$C$24&lt;&gt;"",$G111=Setup!$C$24)),1,0))))</f>
        <v>0</v>
      </c>
      <c r="AL111" s="60" t="n">
        <f aca="false">IF(OR($S111=0,Setup!$B$25=""),0,IF(OR($G111="",$G111="Everyone"),1,IF($G111="Custom",N(AB111),IF(OR($G111=Setup!$B$25,AND(Setup!$C$25&lt;&gt;"",$G111=Setup!$C$25)),1,0))))</f>
        <v>0</v>
      </c>
      <c r="AM111" s="60" t="n">
        <f aca="false">IF(OR($S111=0,Setup!$B$26=""),0,IF(OR($G111="",$G111="Everyone"),1,IF($G111="Custom",N(AC111),IF(OR($G111=Setup!$B$26,AND(Setup!$C$26&lt;&gt;"",$G111=Setup!$C$26)),1,0))))</f>
        <v>0</v>
      </c>
      <c r="AN111" s="60" t="n">
        <f aca="false">IF(OR($S111=0,Setup!$B$27=""),0,IF(OR($G111="",$G111="Everyone"),1,IF($G111="Custom",N(AD111),IF(OR($G111=Setup!$B$27,AND(Setup!$C$27&lt;&gt;"",$G111=Setup!$C$27)),1,0))))</f>
        <v>0</v>
      </c>
      <c r="AO111" s="60" t="n">
        <f aca="false">IF(SUM(AE111:AN111)=0,1,SUM(AE111:AN111))</f>
        <v>1</v>
      </c>
      <c r="AP111" s="60" t="n">
        <f aca="false">IF(H111="Paid",1,0)</f>
        <v>0</v>
      </c>
      <c r="AQ111" s="60" t="n">
        <f aca="false">IF(AND(S111&gt;0,SUM(AE111:AN111)=0),S111,0)</f>
        <v>0</v>
      </c>
      <c r="AR111" s="60" t="str">
        <f aca="false">IF(AND(N111&lt;&gt;"",TodayDay&lt;&gt;"",N111=TodayDay),COUNTIF($N$6:N111,TodayDay),"")</f>
        <v/>
      </c>
      <c r="AS111" s="60" t="n">
        <f aca="false">IF(B111="",0,IF(COUNTIFS(Settings!$A$5:$A$29,B111,Settings!$B$5:$B$29,"Yes")&gt;0,1,0))</f>
        <v>0</v>
      </c>
      <c r="AT111" s="61" t="n">
        <f aca="false">IF(OR(N111="",TodayDay=""),IF(N111="",S111,0),IF(N111&lt;TodayDay,S111,0))</f>
        <v>0</v>
      </c>
    </row>
    <row r="112" customFormat="false" ht="15" hidden="false" customHeight="false" outlineLevel="0" collapsed="false">
      <c r="A112" s="23"/>
      <c r="B112" s="23"/>
      <c r="C112" s="23"/>
      <c r="D112" s="56"/>
      <c r="E112" s="23"/>
      <c r="F112" s="23"/>
      <c r="G112" s="23"/>
      <c r="H112" s="23"/>
      <c r="I112" s="56"/>
      <c r="J112" s="23"/>
      <c r="K112" s="28"/>
      <c r="L112" s="23"/>
      <c r="M112" s="23"/>
      <c r="N112" s="25" t="str">
        <f aca="false">IF(A112="","",IF(LEFT(A112,3)="Pre",0,IFERROR(VALUE(MID(A112,5,FIND(" ",A112&amp;" ",5)-5)),"")))</f>
        <v/>
      </c>
      <c r="O112" s="57" t="str">
        <f aca="false">IF(N112="","",IF(N112=0,"Before trip",IF(TripStart="","",TripStart+N112-1)))</f>
        <v/>
      </c>
      <c r="P112" s="58" t="str">
        <f aca="false">IF(AND(D112="",I112=""),"",IF(OR(E112="",E112=HomeCcy),1,IFERROR(INDEX(Setup!$J$26:$J$33,MATCH(E112,Setup!$G$26:$G$33,0)),IFERROR(INDEX(Settings!$S$5:$S$64,MATCH(E112,Settings!$R$5:$R$64,0))/HomeINR,1))))</f>
        <v/>
      </c>
      <c r="Q112" s="34" t="str">
        <f aca="false">IF(D112="","",D112*P112)</f>
        <v/>
      </c>
      <c r="R112" s="34" t="str">
        <f aca="false">IF(I112="","",I112*P112)</f>
        <v/>
      </c>
      <c r="S112" s="33" t="n">
        <f aca="false">IF(H112="Cancelled",0,IF(R112&lt;&gt;"",R112,IF(Q112&lt;&gt;"",Q112,0)))</f>
        <v>0</v>
      </c>
      <c r="T112" s="45" t="str">
        <f aca="false">IF(S112=0,"",IF(SUM(AE112:AN112)=0,"⚠ nobody picked",COUNTIF(AE112:AN112,"&gt;0")&amp;" people"))</f>
        <v/>
      </c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60" t="n">
        <f aca="false">IF(OR($S112=0,Setup!$B$18=""),0,IF(OR($G112="",$G112="Everyone"),1,IF($G112="Custom",N(U112),IF(OR($G112=Setup!$B$18,AND(Setup!$C$18&lt;&gt;"",$G112=Setup!$C$18)),1,0))))</f>
        <v>0</v>
      </c>
      <c r="AF112" s="60" t="n">
        <f aca="false">IF(OR($S112=0,Setup!$B$19=""),0,IF(OR($G112="",$G112="Everyone"),1,IF($G112="Custom",N(V112),IF(OR($G112=Setup!$B$19,AND(Setup!$C$19&lt;&gt;"",$G112=Setup!$C$19)),1,0))))</f>
        <v>0</v>
      </c>
      <c r="AG112" s="60" t="n">
        <f aca="false">IF(OR($S112=0,Setup!$B$20=""),0,IF(OR($G112="",$G112="Everyone"),1,IF($G112="Custom",N(W112),IF(OR($G112=Setup!$B$20,AND(Setup!$C$20&lt;&gt;"",$G112=Setup!$C$20)),1,0))))</f>
        <v>0</v>
      </c>
      <c r="AH112" s="60" t="n">
        <f aca="false">IF(OR($S112=0,Setup!$B$21=""),0,IF(OR($G112="",$G112="Everyone"),1,IF($G112="Custom",N(X112),IF(OR($G112=Setup!$B$21,AND(Setup!$C$21&lt;&gt;"",$G112=Setup!$C$21)),1,0))))</f>
        <v>0</v>
      </c>
      <c r="AI112" s="60" t="n">
        <f aca="false">IF(OR($S112=0,Setup!$B$22=""),0,IF(OR($G112="",$G112="Everyone"),1,IF($G112="Custom",N(Y112),IF(OR($G112=Setup!$B$22,AND(Setup!$C$22&lt;&gt;"",$G112=Setup!$C$22)),1,0))))</f>
        <v>0</v>
      </c>
      <c r="AJ112" s="60" t="n">
        <f aca="false">IF(OR($S112=0,Setup!$B$23=""),0,IF(OR($G112="",$G112="Everyone"),1,IF($G112="Custom",N(Z112),IF(OR($G112=Setup!$B$23,AND(Setup!$C$23&lt;&gt;"",$G112=Setup!$C$23)),1,0))))</f>
        <v>0</v>
      </c>
      <c r="AK112" s="60" t="n">
        <f aca="false">IF(OR($S112=0,Setup!$B$24=""),0,IF(OR($G112="",$G112="Everyone"),1,IF($G112="Custom",N(AA112),IF(OR($G112=Setup!$B$24,AND(Setup!$C$24&lt;&gt;"",$G112=Setup!$C$24)),1,0))))</f>
        <v>0</v>
      </c>
      <c r="AL112" s="60" t="n">
        <f aca="false">IF(OR($S112=0,Setup!$B$25=""),0,IF(OR($G112="",$G112="Everyone"),1,IF($G112="Custom",N(AB112),IF(OR($G112=Setup!$B$25,AND(Setup!$C$25&lt;&gt;"",$G112=Setup!$C$25)),1,0))))</f>
        <v>0</v>
      </c>
      <c r="AM112" s="60" t="n">
        <f aca="false">IF(OR($S112=0,Setup!$B$26=""),0,IF(OR($G112="",$G112="Everyone"),1,IF($G112="Custom",N(AC112),IF(OR($G112=Setup!$B$26,AND(Setup!$C$26&lt;&gt;"",$G112=Setup!$C$26)),1,0))))</f>
        <v>0</v>
      </c>
      <c r="AN112" s="60" t="n">
        <f aca="false">IF(OR($S112=0,Setup!$B$27=""),0,IF(OR($G112="",$G112="Everyone"),1,IF($G112="Custom",N(AD112),IF(OR($G112=Setup!$B$27,AND(Setup!$C$27&lt;&gt;"",$G112=Setup!$C$27)),1,0))))</f>
        <v>0</v>
      </c>
      <c r="AO112" s="60" t="n">
        <f aca="false">IF(SUM(AE112:AN112)=0,1,SUM(AE112:AN112))</f>
        <v>1</v>
      </c>
      <c r="AP112" s="60" t="n">
        <f aca="false">IF(H112="Paid",1,0)</f>
        <v>0</v>
      </c>
      <c r="AQ112" s="60" t="n">
        <f aca="false">IF(AND(S112&gt;0,SUM(AE112:AN112)=0),S112,0)</f>
        <v>0</v>
      </c>
      <c r="AR112" s="60" t="str">
        <f aca="false">IF(AND(N112&lt;&gt;"",TodayDay&lt;&gt;"",N112=TodayDay),COUNTIF($N$6:N112,TodayDay),"")</f>
        <v/>
      </c>
      <c r="AS112" s="60" t="n">
        <f aca="false">IF(B112="",0,IF(COUNTIFS(Settings!$A$5:$A$29,B112,Settings!$B$5:$B$29,"Yes")&gt;0,1,0))</f>
        <v>0</v>
      </c>
      <c r="AT112" s="61" t="n">
        <f aca="false">IF(OR(N112="",TodayDay=""),IF(N112="",S112,0),IF(N112&lt;TodayDay,S112,0))</f>
        <v>0</v>
      </c>
    </row>
    <row r="113" customFormat="false" ht="15" hidden="false" customHeight="false" outlineLevel="0" collapsed="false">
      <c r="A113" s="23"/>
      <c r="B113" s="23"/>
      <c r="C113" s="23"/>
      <c r="D113" s="56"/>
      <c r="E113" s="23"/>
      <c r="F113" s="23"/>
      <c r="G113" s="23"/>
      <c r="H113" s="23"/>
      <c r="I113" s="56"/>
      <c r="J113" s="23"/>
      <c r="K113" s="28"/>
      <c r="L113" s="23"/>
      <c r="M113" s="23"/>
      <c r="N113" s="25" t="str">
        <f aca="false">IF(A113="","",IF(LEFT(A113,3)="Pre",0,IFERROR(VALUE(MID(A113,5,FIND(" ",A113&amp;" ",5)-5)),"")))</f>
        <v/>
      </c>
      <c r="O113" s="57" t="str">
        <f aca="false">IF(N113="","",IF(N113=0,"Before trip",IF(TripStart="","",TripStart+N113-1)))</f>
        <v/>
      </c>
      <c r="P113" s="58" t="str">
        <f aca="false">IF(AND(D113="",I113=""),"",IF(OR(E113="",E113=HomeCcy),1,IFERROR(INDEX(Setup!$J$26:$J$33,MATCH(E113,Setup!$G$26:$G$33,0)),IFERROR(INDEX(Settings!$S$5:$S$64,MATCH(E113,Settings!$R$5:$R$64,0))/HomeINR,1))))</f>
        <v/>
      </c>
      <c r="Q113" s="34" t="str">
        <f aca="false">IF(D113="","",D113*P113)</f>
        <v/>
      </c>
      <c r="R113" s="34" t="str">
        <f aca="false">IF(I113="","",I113*P113)</f>
        <v/>
      </c>
      <c r="S113" s="33" t="n">
        <f aca="false">IF(H113="Cancelled",0,IF(R113&lt;&gt;"",R113,IF(Q113&lt;&gt;"",Q113,0)))</f>
        <v>0</v>
      </c>
      <c r="T113" s="45" t="str">
        <f aca="false">IF(S113=0,"",IF(SUM(AE113:AN113)=0,"⚠ nobody picked",COUNTIF(AE113:AN113,"&gt;0")&amp;" people"))</f>
        <v/>
      </c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60" t="n">
        <f aca="false">IF(OR($S113=0,Setup!$B$18=""),0,IF(OR($G113="",$G113="Everyone"),1,IF($G113="Custom",N(U113),IF(OR($G113=Setup!$B$18,AND(Setup!$C$18&lt;&gt;"",$G113=Setup!$C$18)),1,0))))</f>
        <v>0</v>
      </c>
      <c r="AF113" s="60" t="n">
        <f aca="false">IF(OR($S113=0,Setup!$B$19=""),0,IF(OR($G113="",$G113="Everyone"),1,IF($G113="Custom",N(V113),IF(OR($G113=Setup!$B$19,AND(Setup!$C$19&lt;&gt;"",$G113=Setup!$C$19)),1,0))))</f>
        <v>0</v>
      </c>
      <c r="AG113" s="60" t="n">
        <f aca="false">IF(OR($S113=0,Setup!$B$20=""),0,IF(OR($G113="",$G113="Everyone"),1,IF($G113="Custom",N(W113),IF(OR($G113=Setup!$B$20,AND(Setup!$C$20&lt;&gt;"",$G113=Setup!$C$20)),1,0))))</f>
        <v>0</v>
      </c>
      <c r="AH113" s="60" t="n">
        <f aca="false">IF(OR($S113=0,Setup!$B$21=""),0,IF(OR($G113="",$G113="Everyone"),1,IF($G113="Custom",N(X113),IF(OR($G113=Setup!$B$21,AND(Setup!$C$21&lt;&gt;"",$G113=Setup!$C$21)),1,0))))</f>
        <v>0</v>
      </c>
      <c r="AI113" s="60" t="n">
        <f aca="false">IF(OR($S113=0,Setup!$B$22=""),0,IF(OR($G113="",$G113="Everyone"),1,IF($G113="Custom",N(Y113),IF(OR($G113=Setup!$B$22,AND(Setup!$C$22&lt;&gt;"",$G113=Setup!$C$22)),1,0))))</f>
        <v>0</v>
      </c>
      <c r="AJ113" s="60" t="n">
        <f aca="false">IF(OR($S113=0,Setup!$B$23=""),0,IF(OR($G113="",$G113="Everyone"),1,IF($G113="Custom",N(Z113),IF(OR($G113=Setup!$B$23,AND(Setup!$C$23&lt;&gt;"",$G113=Setup!$C$23)),1,0))))</f>
        <v>0</v>
      </c>
      <c r="AK113" s="60" t="n">
        <f aca="false">IF(OR($S113=0,Setup!$B$24=""),0,IF(OR($G113="",$G113="Everyone"),1,IF($G113="Custom",N(AA113),IF(OR($G113=Setup!$B$24,AND(Setup!$C$24&lt;&gt;"",$G113=Setup!$C$24)),1,0))))</f>
        <v>0</v>
      </c>
      <c r="AL113" s="60" t="n">
        <f aca="false">IF(OR($S113=0,Setup!$B$25=""),0,IF(OR($G113="",$G113="Everyone"),1,IF($G113="Custom",N(AB113),IF(OR($G113=Setup!$B$25,AND(Setup!$C$25&lt;&gt;"",$G113=Setup!$C$25)),1,0))))</f>
        <v>0</v>
      </c>
      <c r="AM113" s="60" t="n">
        <f aca="false">IF(OR($S113=0,Setup!$B$26=""),0,IF(OR($G113="",$G113="Everyone"),1,IF($G113="Custom",N(AC113),IF(OR($G113=Setup!$B$26,AND(Setup!$C$26&lt;&gt;"",$G113=Setup!$C$26)),1,0))))</f>
        <v>0</v>
      </c>
      <c r="AN113" s="60" t="n">
        <f aca="false">IF(OR($S113=0,Setup!$B$27=""),0,IF(OR($G113="",$G113="Everyone"),1,IF($G113="Custom",N(AD113),IF(OR($G113=Setup!$B$27,AND(Setup!$C$27&lt;&gt;"",$G113=Setup!$C$27)),1,0))))</f>
        <v>0</v>
      </c>
      <c r="AO113" s="60" t="n">
        <f aca="false">IF(SUM(AE113:AN113)=0,1,SUM(AE113:AN113))</f>
        <v>1</v>
      </c>
      <c r="AP113" s="60" t="n">
        <f aca="false">IF(H113="Paid",1,0)</f>
        <v>0</v>
      </c>
      <c r="AQ113" s="60" t="n">
        <f aca="false">IF(AND(S113&gt;0,SUM(AE113:AN113)=0),S113,0)</f>
        <v>0</v>
      </c>
      <c r="AR113" s="60" t="str">
        <f aca="false">IF(AND(N113&lt;&gt;"",TodayDay&lt;&gt;"",N113=TodayDay),COUNTIF($N$6:N113,TodayDay),"")</f>
        <v/>
      </c>
      <c r="AS113" s="60" t="n">
        <f aca="false">IF(B113="",0,IF(COUNTIFS(Settings!$A$5:$A$29,B113,Settings!$B$5:$B$29,"Yes")&gt;0,1,0))</f>
        <v>0</v>
      </c>
      <c r="AT113" s="61" t="n">
        <f aca="false">IF(OR(N113="",TodayDay=""),IF(N113="",S113,0),IF(N113&lt;TodayDay,S113,0))</f>
        <v>0</v>
      </c>
    </row>
    <row r="114" customFormat="false" ht="15" hidden="false" customHeight="false" outlineLevel="0" collapsed="false">
      <c r="A114" s="23"/>
      <c r="B114" s="23"/>
      <c r="C114" s="23"/>
      <c r="D114" s="56"/>
      <c r="E114" s="23"/>
      <c r="F114" s="23"/>
      <c r="G114" s="23"/>
      <c r="H114" s="23"/>
      <c r="I114" s="56"/>
      <c r="J114" s="23"/>
      <c r="K114" s="28"/>
      <c r="L114" s="23"/>
      <c r="M114" s="23"/>
      <c r="N114" s="25" t="str">
        <f aca="false">IF(A114="","",IF(LEFT(A114,3)="Pre",0,IFERROR(VALUE(MID(A114,5,FIND(" ",A114&amp;" ",5)-5)),"")))</f>
        <v/>
      </c>
      <c r="O114" s="57" t="str">
        <f aca="false">IF(N114="","",IF(N114=0,"Before trip",IF(TripStart="","",TripStart+N114-1)))</f>
        <v/>
      </c>
      <c r="P114" s="58" t="str">
        <f aca="false">IF(AND(D114="",I114=""),"",IF(OR(E114="",E114=HomeCcy),1,IFERROR(INDEX(Setup!$J$26:$J$33,MATCH(E114,Setup!$G$26:$G$33,0)),IFERROR(INDEX(Settings!$S$5:$S$64,MATCH(E114,Settings!$R$5:$R$64,0))/HomeINR,1))))</f>
        <v/>
      </c>
      <c r="Q114" s="34" t="str">
        <f aca="false">IF(D114="","",D114*P114)</f>
        <v/>
      </c>
      <c r="R114" s="34" t="str">
        <f aca="false">IF(I114="","",I114*P114)</f>
        <v/>
      </c>
      <c r="S114" s="33" t="n">
        <f aca="false">IF(H114="Cancelled",0,IF(R114&lt;&gt;"",R114,IF(Q114&lt;&gt;"",Q114,0)))</f>
        <v>0</v>
      </c>
      <c r="T114" s="45" t="str">
        <f aca="false">IF(S114=0,"",IF(SUM(AE114:AN114)=0,"⚠ nobody picked",COUNTIF(AE114:AN114,"&gt;0")&amp;" people"))</f>
        <v/>
      </c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60" t="n">
        <f aca="false">IF(OR($S114=0,Setup!$B$18=""),0,IF(OR($G114="",$G114="Everyone"),1,IF($G114="Custom",N(U114),IF(OR($G114=Setup!$B$18,AND(Setup!$C$18&lt;&gt;"",$G114=Setup!$C$18)),1,0))))</f>
        <v>0</v>
      </c>
      <c r="AF114" s="60" t="n">
        <f aca="false">IF(OR($S114=0,Setup!$B$19=""),0,IF(OR($G114="",$G114="Everyone"),1,IF($G114="Custom",N(V114),IF(OR($G114=Setup!$B$19,AND(Setup!$C$19&lt;&gt;"",$G114=Setup!$C$19)),1,0))))</f>
        <v>0</v>
      </c>
      <c r="AG114" s="60" t="n">
        <f aca="false">IF(OR($S114=0,Setup!$B$20=""),0,IF(OR($G114="",$G114="Everyone"),1,IF($G114="Custom",N(W114),IF(OR($G114=Setup!$B$20,AND(Setup!$C$20&lt;&gt;"",$G114=Setup!$C$20)),1,0))))</f>
        <v>0</v>
      </c>
      <c r="AH114" s="60" t="n">
        <f aca="false">IF(OR($S114=0,Setup!$B$21=""),0,IF(OR($G114="",$G114="Everyone"),1,IF($G114="Custom",N(X114),IF(OR($G114=Setup!$B$21,AND(Setup!$C$21&lt;&gt;"",$G114=Setup!$C$21)),1,0))))</f>
        <v>0</v>
      </c>
      <c r="AI114" s="60" t="n">
        <f aca="false">IF(OR($S114=0,Setup!$B$22=""),0,IF(OR($G114="",$G114="Everyone"),1,IF($G114="Custom",N(Y114),IF(OR($G114=Setup!$B$22,AND(Setup!$C$22&lt;&gt;"",$G114=Setup!$C$22)),1,0))))</f>
        <v>0</v>
      </c>
      <c r="AJ114" s="60" t="n">
        <f aca="false">IF(OR($S114=0,Setup!$B$23=""),0,IF(OR($G114="",$G114="Everyone"),1,IF($G114="Custom",N(Z114),IF(OR($G114=Setup!$B$23,AND(Setup!$C$23&lt;&gt;"",$G114=Setup!$C$23)),1,0))))</f>
        <v>0</v>
      </c>
      <c r="AK114" s="60" t="n">
        <f aca="false">IF(OR($S114=0,Setup!$B$24=""),0,IF(OR($G114="",$G114="Everyone"),1,IF($G114="Custom",N(AA114),IF(OR($G114=Setup!$B$24,AND(Setup!$C$24&lt;&gt;"",$G114=Setup!$C$24)),1,0))))</f>
        <v>0</v>
      </c>
      <c r="AL114" s="60" t="n">
        <f aca="false">IF(OR($S114=0,Setup!$B$25=""),0,IF(OR($G114="",$G114="Everyone"),1,IF($G114="Custom",N(AB114),IF(OR($G114=Setup!$B$25,AND(Setup!$C$25&lt;&gt;"",$G114=Setup!$C$25)),1,0))))</f>
        <v>0</v>
      </c>
      <c r="AM114" s="60" t="n">
        <f aca="false">IF(OR($S114=0,Setup!$B$26=""),0,IF(OR($G114="",$G114="Everyone"),1,IF($G114="Custom",N(AC114),IF(OR($G114=Setup!$B$26,AND(Setup!$C$26&lt;&gt;"",$G114=Setup!$C$26)),1,0))))</f>
        <v>0</v>
      </c>
      <c r="AN114" s="60" t="n">
        <f aca="false">IF(OR($S114=0,Setup!$B$27=""),0,IF(OR($G114="",$G114="Everyone"),1,IF($G114="Custom",N(AD114),IF(OR($G114=Setup!$B$27,AND(Setup!$C$27&lt;&gt;"",$G114=Setup!$C$27)),1,0))))</f>
        <v>0</v>
      </c>
      <c r="AO114" s="60" t="n">
        <f aca="false">IF(SUM(AE114:AN114)=0,1,SUM(AE114:AN114))</f>
        <v>1</v>
      </c>
      <c r="AP114" s="60" t="n">
        <f aca="false">IF(H114="Paid",1,0)</f>
        <v>0</v>
      </c>
      <c r="AQ114" s="60" t="n">
        <f aca="false">IF(AND(S114&gt;0,SUM(AE114:AN114)=0),S114,0)</f>
        <v>0</v>
      </c>
      <c r="AR114" s="60" t="str">
        <f aca="false">IF(AND(N114&lt;&gt;"",TodayDay&lt;&gt;"",N114=TodayDay),COUNTIF($N$6:N114,TodayDay),"")</f>
        <v/>
      </c>
      <c r="AS114" s="60" t="n">
        <f aca="false">IF(B114="",0,IF(COUNTIFS(Settings!$A$5:$A$29,B114,Settings!$B$5:$B$29,"Yes")&gt;0,1,0))</f>
        <v>0</v>
      </c>
      <c r="AT114" s="61" t="n">
        <f aca="false">IF(OR(N114="",TodayDay=""),IF(N114="",S114,0),IF(N114&lt;TodayDay,S114,0))</f>
        <v>0</v>
      </c>
    </row>
    <row r="115" customFormat="false" ht="15" hidden="false" customHeight="false" outlineLevel="0" collapsed="false">
      <c r="A115" s="23"/>
      <c r="B115" s="23"/>
      <c r="C115" s="23"/>
      <c r="D115" s="56"/>
      <c r="E115" s="23"/>
      <c r="F115" s="23"/>
      <c r="G115" s="23"/>
      <c r="H115" s="23"/>
      <c r="I115" s="56"/>
      <c r="J115" s="23"/>
      <c r="K115" s="28"/>
      <c r="L115" s="23"/>
      <c r="M115" s="23"/>
      <c r="N115" s="25" t="str">
        <f aca="false">IF(A115="","",IF(LEFT(A115,3)="Pre",0,IFERROR(VALUE(MID(A115,5,FIND(" ",A115&amp;" ",5)-5)),"")))</f>
        <v/>
      </c>
      <c r="O115" s="57" t="str">
        <f aca="false">IF(N115="","",IF(N115=0,"Before trip",IF(TripStart="","",TripStart+N115-1)))</f>
        <v/>
      </c>
      <c r="P115" s="58" t="str">
        <f aca="false">IF(AND(D115="",I115=""),"",IF(OR(E115="",E115=HomeCcy),1,IFERROR(INDEX(Setup!$J$26:$J$33,MATCH(E115,Setup!$G$26:$G$33,0)),IFERROR(INDEX(Settings!$S$5:$S$64,MATCH(E115,Settings!$R$5:$R$64,0))/HomeINR,1))))</f>
        <v/>
      </c>
      <c r="Q115" s="34" t="str">
        <f aca="false">IF(D115="","",D115*P115)</f>
        <v/>
      </c>
      <c r="R115" s="34" t="str">
        <f aca="false">IF(I115="","",I115*P115)</f>
        <v/>
      </c>
      <c r="S115" s="33" t="n">
        <f aca="false">IF(H115="Cancelled",0,IF(R115&lt;&gt;"",R115,IF(Q115&lt;&gt;"",Q115,0)))</f>
        <v>0</v>
      </c>
      <c r="T115" s="45" t="str">
        <f aca="false">IF(S115=0,"",IF(SUM(AE115:AN115)=0,"⚠ nobody picked",COUNTIF(AE115:AN115,"&gt;0")&amp;" people"))</f>
        <v/>
      </c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60" t="n">
        <f aca="false">IF(OR($S115=0,Setup!$B$18=""),0,IF(OR($G115="",$G115="Everyone"),1,IF($G115="Custom",N(U115),IF(OR($G115=Setup!$B$18,AND(Setup!$C$18&lt;&gt;"",$G115=Setup!$C$18)),1,0))))</f>
        <v>0</v>
      </c>
      <c r="AF115" s="60" t="n">
        <f aca="false">IF(OR($S115=0,Setup!$B$19=""),0,IF(OR($G115="",$G115="Everyone"),1,IF($G115="Custom",N(V115),IF(OR($G115=Setup!$B$19,AND(Setup!$C$19&lt;&gt;"",$G115=Setup!$C$19)),1,0))))</f>
        <v>0</v>
      </c>
      <c r="AG115" s="60" t="n">
        <f aca="false">IF(OR($S115=0,Setup!$B$20=""),0,IF(OR($G115="",$G115="Everyone"),1,IF($G115="Custom",N(W115),IF(OR($G115=Setup!$B$20,AND(Setup!$C$20&lt;&gt;"",$G115=Setup!$C$20)),1,0))))</f>
        <v>0</v>
      </c>
      <c r="AH115" s="60" t="n">
        <f aca="false">IF(OR($S115=0,Setup!$B$21=""),0,IF(OR($G115="",$G115="Everyone"),1,IF($G115="Custom",N(X115),IF(OR($G115=Setup!$B$21,AND(Setup!$C$21&lt;&gt;"",$G115=Setup!$C$21)),1,0))))</f>
        <v>0</v>
      </c>
      <c r="AI115" s="60" t="n">
        <f aca="false">IF(OR($S115=0,Setup!$B$22=""),0,IF(OR($G115="",$G115="Everyone"),1,IF($G115="Custom",N(Y115),IF(OR($G115=Setup!$B$22,AND(Setup!$C$22&lt;&gt;"",$G115=Setup!$C$22)),1,0))))</f>
        <v>0</v>
      </c>
      <c r="AJ115" s="60" t="n">
        <f aca="false">IF(OR($S115=0,Setup!$B$23=""),0,IF(OR($G115="",$G115="Everyone"),1,IF($G115="Custom",N(Z115),IF(OR($G115=Setup!$B$23,AND(Setup!$C$23&lt;&gt;"",$G115=Setup!$C$23)),1,0))))</f>
        <v>0</v>
      </c>
      <c r="AK115" s="60" t="n">
        <f aca="false">IF(OR($S115=0,Setup!$B$24=""),0,IF(OR($G115="",$G115="Everyone"),1,IF($G115="Custom",N(AA115),IF(OR($G115=Setup!$B$24,AND(Setup!$C$24&lt;&gt;"",$G115=Setup!$C$24)),1,0))))</f>
        <v>0</v>
      </c>
      <c r="AL115" s="60" t="n">
        <f aca="false">IF(OR($S115=0,Setup!$B$25=""),0,IF(OR($G115="",$G115="Everyone"),1,IF($G115="Custom",N(AB115),IF(OR($G115=Setup!$B$25,AND(Setup!$C$25&lt;&gt;"",$G115=Setup!$C$25)),1,0))))</f>
        <v>0</v>
      </c>
      <c r="AM115" s="60" t="n">
        <f aca="false">IF(OR($S115=0,Setup!$B$26=""),0,IF(OR($G115="",$G115="Everyone"),1,IF($G115="Custom",N(AC115),IF(OR($G115=Setup!$B$26,AND(Setup!$C$26&lt;&gt;"",$G115=Setup!$C$26)),1,0))))</f>
        <v>0</v>
      </c>
      <c r="AN115" s="60" t="n">
        <f aca="false">IF(OR($S115=0,Setup!$B$27=""),0,IF(OR($G115="",$G115="Everyone"),1,IF($G115="Custom",N(AD115),IF(OR($G115=Setup!$B$27,AND(Setup!$C$27&lt;&gt;"",$G115=Setup!$C$27)),1,0))))</f>
        <v>0</v>
      </c>
      <c r="AO115" s="60" t="n">
        <f aca="false">IF(SUM(AE115:AN115)=0,1,SUM(AE115:AN115))</f>
        <v>1</v>
      </c>
      <c r="AP115" s="60" t="n">
        <f aca="false">IF(H115="Paid",1,0)</f>
        <v>0</v>
      </c>
      <c r="AQ115" s="60" t="n">
        <f aca="false">IF(AND(S115&gt;0,SUM(AE115:AN115)=0),S115,0)</f>
        <v>0</v>
      </c>
      <c r="AR115" s="60" t="str">
        <f aca="false">IF(AND(N115&lt;&gt;"",TodayDay&lt;&gt;"",N115=TodayDay),COUNTIF($N$6:N115,TodayDay),"")</f>
        <v/>
      </c>
      <c r="AS115" s="60" t="n">
        <f aca="false">IF(B115="",0,IF(COUNTIFS(Settings!$A$5:$A$29,B115,Settings!$B$5:$B$29,"Yes")&gt;0,1,0))</f>
        <v>0</v>
      </c>
      <c r="AT115" s="61" t="n">
        <f aca="false">IF(OR(N115="",TodayDay=""),IF(N115="",S115,0),IF(N115&lt;TodayDay,S115,0))</f>
        <v>0</v>
      </c>
    </row>
    <row r="116" customFormat="false" ht="15" hidden="false" customHeight="false" outlineLevel="0" collapsed="false">
      <c r="A116" s="23"/>
      <c r="B116" s="23"/>
      <c r="C116" s="23"/>
      <c r="D116" s="56"/>
      <c r="E116" s="23"/>
      <c r="F116" s="23"/>
      <c r="G116" s="23"/>
      <c r="H116" s="23"/>
      <c r="I116" s="56"/>
      <c r="J116" s="23"/>
      <c r="K116" s="28"/>
      <c r="L116" s="23"/>
      <c r="M116" s="23"/>
      <c r="N116" s="25" t="str">
        <f aca="false">IF(A116="","",IF(LEFT(A116,3)="Pre",0,IFERROR(VALUE(MID(A116,5,FIND(" ",A116&amp;" ",5)-5)),"")))</f>
        <v/>
      </c>
      <c r="O116" s="57" t="str">
        <f aca="false">IF(N116="","",IF(N116=0,"Before trip",IF(TripStart="","",TripStart+N116-1)))</f>
        <v/>
      </c>
      <c r="P116" s="58" t="str">
        <f aca="false">IF(AND(D116="",I116=""),"",IF(OR(E116="",E116=HomeCcy),1,IFERROR(INDEX(Setup!$J$26:$J$33,MATCH(E116,Setup!$G$26:$G$33,0)),IFERROR(INDEX(Settings!$S$5:$S$64,MATCH(E116,Settings!$R$5:$R$64,0))/HomeINR,1))))</f>
        <v/>
      </c>
      <c r="Q116" s="34" t="str">
        <f aca="false">IF(D116="","",D116*P116)</f>
        <v/>
      </c>
      <c r="R116" s="34" t="str">
        <f aca="false">IF(I116="","",I116*P116)</f>
        <v/>
      </c>
      <c r="S116" s="33" t="n">
        <f aca="false">IF(H116="Cancelled",0,IF(R116&lt;&gt;"",R116,IF(Q116&lt;&gt;"",Q116,0)))</f>
        <v>0</v>
      </c>
      <c r="T116" s="45" t="str">
        <f aca="false">IF(S116=0,"",IF(SUM(AE116:AN116)=0,"⚠ nobody picked",COUNTIF(AE116:AN116,"&gt;0")&amp;" people"))</f>
        <v/>
      </c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60" t="n">
        <f aca="false">IF(OR($S116=0,Setup!$B$18=""),0,IF(OR($G116="",$G116="Everyone"),1,IF($G116="Custom",N(U116),IF(OR($G116=Setup!$B$18,AND(Setup!$C$18&lt;&gt;"",$G116=Setup!$C$18)),1,0))))</f>
        <v>0</v>
      </c>
      <c r="AF116" s="60" t="n">
        <f aca="false">IF(OR($S116=0,Setup!$B$19=""),0,IF(OR($G116="",$G116="Everyone"),1,IF($G116="Custom",N(V116),IF(OR($G116=Setup!$B$19,AND(Setup!$C$19&lt;&gt;"",$G116=Setup!$C$19)),1,0))))</f>
        <v>0</v>
      </c>
      <c r="AG116" s="60" t="n">
        <f aca="false">IF(OR($S116=0,Setup!$B$20=""),0,IF(OR($G116="",$G116="Everyone"),1,IF($G116="Custom",N(W116),IF(OR($G116=Setup!$B$20,AND(Setup!$C$20&lt;&gt;"",$G116=Setup!$C$20)),1,0))))</f>
        <v>0</v>
      </c>
      <c r="AH116" s="60" t="n">
        <f aca="false">IF(OR($S116=0,Setup!$B$21=""),0,IF(OR($G116="",$G116="Everyone"),1,IF($G116="Custom",N(X116),IF(OR($G116=Setup!$B$21,AND(Setup!$C$21&lt;&gt;"",$G116=Setup!$C$21)),1,0))))</f>
        <v>0</v>
      </c>
      <c r="AI116" s="60" t="n">
        <f aca="false">IF(OR($S116=0,Setup!$B$22=""),0,IF(OR($G116="",$G116="Everyone"),1,IF($G116="Custom",N(Y116),IF(OR($G116=Setup!$B$22,AND(Setup!$C$22&lt;&gt;"",$G116=Setup!$C$22)),1,0))))</f>
        <v>0</v>
      </c>
      <c r="AJ116" s="60" t="n">
        <f aca="false">IF(OR($S116=0,Setup!$B$23=""),0,IF(OR($G116="",$G116="Everyone"),1,IF($G116="Custom",N(Z116),IF(OR($G116=Setup!$B$23,AND(Setup!$C$23&lt;&gt;"",$G116=Setup!$C$23)),1,0))))</f>
        <v>0</v>
      </c>
      <c r="AK116" s="60" t="n">
        <f aca="false">IF(OR($S116=0,Setup!$B$24=""),0,IF(OR($G116="",$G116="Everyone"),1,IF($G116="Custom",N(AA116),IF(OR($G116=Setup!$B$24,AND(Setup!$C$24&lt;&gt;"",$G116=Setup!$C$24)),1,0))))</f>
        <v>0</v>
      </c>
      <c r="AL116" s="60" t="n">
        <f aca="false">IF(OR($S116=0,Setup!$B$25=""),0,IF(OR($G116="",$G116="Everyone"),1,IF($G116="Custom",N(AB116),IF(OR($G116=Setup!$B$25,AND(Setup!$C$25&lt;&gt;"",$G116=Setup!$C$25)),1,0))))</f>
        <v>0</v>
      </c>
      <c r="AM116" s="60" t="n">
        <f aca="false">IF(OR($S116=0,Setup!$B$26=""),0,IF(OR($G116="",$G116="Everyone"),1,IF($G116="Custom",N(AC116),IF(OR($G116=Setup!$B$26,AND(Setup!$C$26&lt;&gt;"",$G116=Setup!$C$26)),1,0))))</f>
        <v>0</v>
      </c>
      <c r="AN116" s="60" t="n">
        <f aca="false">IF(OR($S116=0,Setup!$B$27=""),0,IF(OR($G116="",$G116="Everyone"),1,IF($G116="Custom",N(AD116),IF(OR($G116=Setup!$B$27,AND(Setup!$C$27&lt;&gt;"",$G116=Setup!$C$27)),1,0))))</f>
        <v>0</v>
      </c>
      <c r="AO116" s="60" t="n">
        <f aca="false">IF(SUM(AE116:AN116)=0,1,SUM(AE116:AN116))</f>
        <v>1</v>
      </c>
      <c r="AP116" s="60" t="n">
        <f aca="false">IF(H116="Paid",1,0)</f>
        <v>0</v>
      </c>
      <c r="AQ116" s="60" t="n">
        <f aca="false">IF(AND(S116&gt;0,SUM(AE116:AN116)=0),S116,0)</f>
        <v>0</v>
      </c>
      <c r="AR116" s="60" t="str">
        <f aca="false">IF(AND(N116&lt;&gt;"",TodayDay&lt;&gt;"",N116=TodayDay),COUNTIF($N$6:N116,TodayDay),"")</f>
        <v/>
      </c>
      <c r="AS116" s="60" t="n">
        <f aca="false">IF(B116="",0,IF(COUNTIFS(Settings!$A$5:$A$29,B116,Settings!$B$5:$B$29,"Yes")&gt;0,1,0))</f>
        <v>0</v>
      </c>
      <c r="AT116" s="61" t="n">
        <f aca="false">IF(OR(N116="",TodayDay=""),IF(N116="",S116,0),IF(N116&lt;TodayDay,S116,0))</f>
        <v>0</v>
      </c>
    </row>
    <row r="117" customFormat="false" ht="15" hidden="false" customHeight="false" outlineLevel="0" collapsed="false">
      <c r="A117" s="23"/>
      <c r="B117" s="23"/>
      <c r="C117" s="23"/>
      <c r="D117" s="56"/>
      <c r="E117" s="23"/>
      <c r="F117" s="23"/>
      <c r="G117" s="23"/>
      <c r="H117" s="23"/>
      <c r="I117" s="56"/>
      <c r="J117" s="23"/>
      <c r="K117" s="28"/>
      <c r="L117" s="23"/>
      <c r="M117" s="23"/>
      <c r="N117" s="25" t="str">
        <f aca="false">IF(A117="","",IF(LEFT(A117,3)="Pre",0,IFERROR(VALUE(MID(A117,5,FIND(" ",A117&amp;" ",5)-5)),"")))</f>
        <v/>
      </c>
      <c r="O117" s="57" t="str">
        <f aca="false">IF(N117="","",IF(N117=0,"Before trip",IF(TripStart="","",TripStart+N117-1)))</f>
        <v/>
      </c>
      <c r="P117" s="58" t="str">
        <f aca="false">IF(AND(D117="",I117=""),"",IF(OR(E117="",E117=HomeCcy),1,IFERROR(INDEX(Setup!$J$26:$J$33,MATCH(E117,Setup!$G$26:$G$33,0)),IFERROR(INDEX(Settings!$S$5:$S$64,MATCH(E117,Settings!$R$5:$R$64,0))/HomeINR,1))))</f>
        <v/>
      </c>
      <c r="Q117" s="34" t="str">
        <f aca="false">IF(D117="","",D117*P117)</f>
        <v/>
      </c>
      <c r="R117" s="34" t="str">
        <f aca="false">IF(I117="","",I117*P117)</f>
        <v/>
      </c>
      <c r="S117" s="33" t="n">
        <f aca="false">IF(H117="Cancelled",0,IF(R117&lt;&gt;"",R117,IF(Q117&lt;&gt;"",Q117,0)))</f>
        <v>0</v>
      </c>
      <c r="T117" s="45" t="str">
        <f aca="false">IF(S117=0,"",IF(SUM(AE117:AN117)=0,"⚠ nobody picked",COUNTIF(AE117:AN117,"&gt;0")&amp;" people"))</f>
        <v/>
      </c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60" t="n">
        <f aca="false">IF(OR($S117=0,Setup!$B$18=""),0,IF(OR($G117="",$G117="Everyone"),1,IF($G117="Custom",N(U117),IF(OR($G117=Setup!$B$18,AND(Setup!$C$18&lt;&gt;"",$G117=Setup!$C$18)),1,0))))</f>
        <v>0</v>
      </c>
      <c r="AF117" s="60" t="n">
        <f aca="false">IF(OR($S117=0,Setup!$B$19=""),0,IF(OR($G117="",$G117="Everyone"),1,IF($G117="Custom",N(V117),IF(OR($G117=Setup!$B$19,AND(Setup!$C$19&lt;&gt;"",$G117=Setup!$C$19)),1,0))))</f>
        <v>0</v>
      </c>
      <c r="AG117" s="60" t="n">
        <f aca="false">IF(OR($S117=0,Setup!$B$20=""),0,IF(OR($G117="",$G117="Everyone"),1,IF($G117="Custom",N(W117),IF(OR($G117=Setup!$B$20,AND(Setup!$C$20&lt;&gt;"",$G117=Setup!$C$20)),1,0))))</f>
        <v>0</v>
      </c>
      <c r="AH117" s="60" t="n">
        <f aca="false">IF(OR($S117=0,Setup!$B$21=""),0,IF(OR($G117="",$G117="Everyone"),1,IF($G117="Custom",N(X117),IF(OR($G117=Setup!$B$21,AND(Setup!$C$21&lt;&gt;"",$G117=Setup!$C$21)),1,0))))</f>
        <v>0</v>
      </c>
      <c r="AI117" s="60" t="n">
        <f aca="false">IF(OR($S117=0,Setup!$B$22=""),0,IF(OR($G117="",$G117="Everyone"),1,IF($G117="Custom",N(Y117),IF(OR($G117=Setup!$B$22,AND(Setup!$C$22&lt;&gt;"",$G117=Setup!$C$22)),1,0))))</f>
        <v>0</v>
      </c>
      <c r="AJ117" s="60" t="n">
        <f aca="false">IF(OR($S117=0,Setup!$B$23=""),0,IF(OR($G117="",$G117="Everyone"),1,IF($G117="Custom",N(Z117),IF(OR($G117=Setup!$B$23,AND(Setup!$C$23&lt;&gt;"",$G117=Setup!$C$23)),1,0))))</f>
        <v>0</v>
      </c>
      <c r="AK117" s="60" t="n">
        <f aca="false">IF(OR($S117=0,Setup!$B$24=""),0,IF(OR($G117="",$G117="Everyone"),1,IF($G117="Custom",N(AA117),IF(OR($G117=Setup!$B$24,AND(Setup!$C$24&lt;&gt;"",$G117=Setup!$C$24)),1,0))))</f>
        <v>0</v>
      </c>
      <c r="AL117" s="60" t="n">
        <f aca="false">IF(OR($S117=0,Setup!$B$25=""),0,IF(OR($G117="",$G117="Everyone"),1,IF($G117="Custom",N(AB117),IF(OR($G117=Setup!$B$25,AND(Setup!$C$25&lt;&gt;"",$G117=Setup!$C$25)),1,0))))</f>
        <v>0</v>
      </c>
      <c r="AM117" s="60" t="n">
        <f aca="false">IF(OR($S117=0,Setup!$B$26=""),0,IF(OR($G117="",$G117="Everyone"),1,IF($G117="Custom",N(AC117),IF(OR($G117=Setup!$B$26,AND(Setup!$C$26&lt;&gt;"",$G117=Setup!$C$26)),1,0))))</f>
        <v>0</v>
      </c>
      <c r="AN117" s="60" t="n">
        <f aca="false">IF(OR($S117=0,Setup!$B$27=""),0,IF(OR($G117="",$G117="Everyone"),1,IF($G117="Custom",N(AD117),IF(OR($G117=Setup!$B$27,AND(Setup!$C$27&lt;&gt;"",$G117=Setup!$C$27)),1,0))))</f>
        <v>0</v>
      </c>
      <c r="AO117" s="60" t="n">
        <f aca="false">IF(SUM(AE117:AN117)=0,1,SUM(AE117:AN117))</f>
        <v>1</v>
      </c>
      <c r="AP117" s="60" t="n">
        <f aca="false">IF(H117="Paid",1,0)</f>
        <v>0</v>
      </c>
      <c r="AQ117" s="60" t="n">
        <f aca="false">IF(AND(S117&gt;0,SUM(AE117:AN117)=0),S117,0)</f>
        <v>0</v>
      </c>
      <c r="AR117" s="60" t="str">
        <f aca="false">IF(AND(N117&lt;&gt;"",TodayDay&lt;&gt;"",N117=TodayDay),COUNTIF($N$6:N117,TodayDay),"")</f>
        <v/>
      </c>
      <c r="AS117" s="60" t="n">
        <f aca="false">IF(B117="",0,IF(COUNTIFS(Settings!$A$5:$A$29,B117,Settings!$B$5:$B$29,"Yes")&gt;0,1,0))</f>
        <v>0</v>
      </c>
      <c r="AT117" s="61" t="n">
        <f aca="false">IF(OR(N117="",TodayDay=""),IF(N117="",S117,0),IF(N117&lt;TodayDay,S117,0))</f>
        <v>0</v>
      </c>
    </row>
    <row r="118" customFormat="false" ht="15" hidden="false" customHeight="false" outlineLevel="0" collapsed="false">
      <c r="A118" s="23"/>
      <c r="B118" s="23"/>
      <c r="C118" s="23"/>
      <c r="D118" s="56"/>
      <c r="E118" s="23"/>
      <c r="F118" s="23"/>
      <c r="G118" s="23"/>
      <c r="H118" s="23"/>
      <c r="I118" s="56"/>
      <c r="J118" s="23"/>
      <c r="K118" s="28"/>
      <c r="L118" s="23"/>
      <c r="M118" s="23"/>
      <c r="N118" s="25" t="str">
        <f aca="false">IF(A118="","",IF(LEFT(A118,3)="Pre",0,IFERROR(VALUE(MID(A118,5,FIND(" ",A118&amp;" ",5)-5)),"")))</f>
        <v/>
      </c>
      <c r="O118" s="57" t="str">
        <f aca="false">IF(N118="","",IF(N118=0,"Before trip",IF(TripStart="","",TripStart+N118-1)))</f>
        <v/>
      </c>
      <c r="P118" s="58" t="str">
        <f aca="false">IF(AND(D118="",I118=""),"",IF(OR(E118="",E118=HomeCcy),1,IFERROR(INDEX(Setup!$J$26:$J$33,MATCH(E118,Setup!$G$26:$G$33,0)),IFERROR(INDEX(Settings!$S$5:$S$64,MATCH(E118,Settings!$R$5:$R$64,0))/HomeINR,1))))</f>
        <v/>
      </c>
      <c r="Q118" s="34" t="str">
        <f aca="false">IF(D118="","",D118*P118)</f>
        <v/>
      </c>
      <c r="R118" s="34" t="str">
        <f aca="false">IF(I118="","",I118*P118)</f>
        <v/>
      </c>
      <c r="S118" s="33" t="n">
        <f aca="false">IF(H118="Cancelled",0,IF(R118&lt;&gt;"",R118,IF(Q118&lt;&gt;"",Q118,0)))</f>
        <v>0</v>
      </c>
      <c r="T118" s="45" t="str">
        <f aca="false">IF(S118=0,"",IF(SUM(AE118:AN118)=0,"⚠ nobody picked",COUNTIF(AE118:AN118,"&gt;0")&amp;" people"))</f>
        <v/>
      </c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60" t="n">
        <f aca="false">IF(OR($S118=0,Setup!$B$18=""),0,IF(OR($G118="",$G118="Everyone"),1,IF($G118="Custom",N(U118),IF(OR($G118=Setup!$B$18,AND(Setup!$C$18&lt;&gt;"",$G118=Setup!$C$18)),1,0))))</f>
        <v>0</v>
      </c>
      <c r="AF118" s="60" t="n">
        <f aca="false">IF(OR($S118=0,Setup!$B$19=""),0,IF(OR($G118="",$G118="Everyone"),1,IF($G118="Custom",N(V118),IF(OR($G118=Setup!$B$19,AND(Setup!$C$19&lt;&gt;"",$G118=Setup!$C$19)),1,0))))</f>
        <v>0</v>
      </c>
      <c r="AG118" s="60" t="n">
        <f aca="false">IF(OR($S118=0,Setup!$B$20=""),0,IF(OR($G118="",$G118="Everyone"),1,IF($G118="Custom",N(W118),IF(OR($G118=Setup!$B$20,AND(Setup!$C$20&lt;&gt;"",$G118=Setup!$C$20)),1,0))))</f>
        <v>0</v>
      </c>
      <c r="AH118" s="60" t="n">
        <f aca="false">IF(OR($S118=0,Setup!$B$21=""),0,IF(OR($G118="",$G118="Everyone"),1,IF($G118="Custom",N(X118),IF(OR($G118=Setup!$B$21,AND(Setup!$C$21&lt;&gt;"",$G118=Setup!$C$21)),1,0))))</f>
        <v>0</v>
      </c>
      <c r="AI118" s="60" t="n">
        <f aca="false">IF(OR($S118=0,Setup!$B$22=""),0,IF(OR($G118="",$G118="Everyone"),1,IF($G118="Custom",N(Y118),IF(OR($G118=Setup!$B$22,AND(Setup!$C$22&lt;&gt;"",$G118=Setup!$C$22)),1,0))))</f>
        <v>0</v>
      </c>
      <c r="AJ118" s="60" t="n">
        <f aca="false">IF(OR($S118=0,Setup!$B$23=""),0,IF(OR($G118="",$G118="Everyone"),1,IF($G118="Custom",N(Z118),IF(OR($G118=Setup!$B$23,AND(Setup!$C$23&lt;&gt;"",$G118=Setup!$C$23)),1,0))))</f>
        <v>0</v>
      </c>
      <c r="AK118" s="60" t="n">
        <f aca="false">IF(OR($S118=0,Setup!$B$24=""),0,IF(OR($G118="",$G118="Everyone"),1,IF($G118="Custom",N(AA118),IF(OR($G118=Setup!$B$24,AND(Setup!$C$24&lt;&gt;"",$G118=Setup!$C$24)),1,0))))</f>
        <v>0</v>
      </c>
      <c r="AL118" s="60" t="n">
        <f aca="false">IF(OR($S118=0,Setup!$B$25=""),0,IF(OR($G118="",$G118="Everyone"),1,IF($G118="Custom",N(AB118),IF(OR($G118=Setup!$B$25,AND(Setup!$C$25&lt;&gt;"",$G118=Setup!$C$25)),1,0))))</f>
        <v>0</v>
      </c>
      <c r="AM118" s="60" t="n">
        <f aca="false">IF(OR($S118=0,Setup!$B$26=""),0,IF(OR($G118="",$G118="Everyone"),1,IF($G118="Custom",N(AC118),IF(OR($G118=Setup!$B$26,AND(Setup!$C$26&lt;&gt;"",$G118=Setup!$C$26)),1,0))))</f>
        <v>0</v>
      </c>
      <c r="AN118" s="60" t="n">
        <f aca="false">IF(OR($S118=0,Setup!$B$27=""),0,IF(OR($G118="",$G118="Everyone"),1,IF($G118="Custom",N(AD118),IF(OR($G118=Setup!$B$27,AND(Setup!$C$27&lt;&gt;"",$G118=Setup!$C$27)),1,0))))</f>
        <v>0</v>
      </c>
      <c r="AO118" s="60" t="n">
        <f aca="false">IF(SUM(AE118:AN118)=0,1,SUM(AE118:AN118))</f>
        <v>1</v>
      </c>
      <c r="AP118" s="60" t="n">
        <f aca="false">IF(H118="Paid",1,0)</f>
        <v>0</v>
      </c>
      <c r="AQ118" s="60" t="n">
        <f aca="false">IF(AND(S118&gt;0,SUM(AE118:AN118)=0),S118,0)</f>
        <v>0</v>
      </c>
      <c r="AR118" s="60" t="str">
        <f aca="false">IF(AND(N118&lt;&gt;"",TodayDay&lt;&gt;"",N118=TodayDay),COUNTIF($N$6:N118,TodayDay),"")</f>
        <v/>
      </c>
      <c r="AS118" s="60" t="n">
        <f aca="false">IF(B118="",0,IF(COUNTIFS(Settings!$A$5:$A$29,B118,Settings!$B$5:$B$29,"Yes")&gt;0,1,0))</f>
        <v>0</v>
      </c>
      <c r="AT118" s="61" t="n">
        <f aca="false">IF(OR(N118="",TodayDay=""),IF(N118="",S118,0),IF(N118&lt;TodayDay,S118,0))</f>
        <v>0</v>
      </c>
    </row>
    <row r="119" customFormat="false" ht="15" hidden="false" customHeight="false" outlineLevel="0" collapsed="false">
      <c r="A119" s="23"/>
      <c r="B119" s="23"/>
      <c r="C119" s="23"/>
      <c r="D119" s="56"/>
      <c r="E119" s="23"/>
      <c r="F119" s="23"/>
      <c r="G119" s="23"/>
      <c r="H119" s="23"/>
      <c r="I119" s="56"/>
      <c r="J119" s="23"/>
      <c r="K119" s="28"/>
      <c r="L119" s="23"/>
      <c r="M119" s="23"/>
      <c r="N119" s="25" t="str">
        <f aca="false">IF(A119="","",IF(LEFT(A119,3)="Pre",0,IFERROR(VALUE(MID(A119,5,FIND(" ",A119&amp;" ",5)-5)),"")))</f>
        <v/>
      </c>
      <c r="O119" s="57" t="str">
        <f aca="false">IF(N119="","",IF(N119=0,"Before trip",IF(TripStart="","",TripStart+N119-1)))</f>
        <v/>
      </c>
      <c r="P119" s="58" t="str">
        <f aca="false">IF(AND(D119="",I119=""),"",IF(OR(E119="",E119=HomeCcy),1,IFERROR(INDEX(Setup!$J$26:$J$33,MATCH(E119,Setup!$G$26:$G$33,0)),IFERROR(INDEX(Settings!$S$5:$S$64,MATCH(E119,Settings!$R$5:$R$64,0))/HomeINR,1))))</f>
        <v/>
      </c>
      <c r="Q119" s="34" t="str">
        <f aca="false">IF(D119="","",D119*P119)</f>
        <v/>
      </c>
      <c r="R119" s="34" t="str">
        <f aca="false">IF(I119="","",I119*P119)</f>
        <v/>
      </c>
      <c r="S119" s="33" t="n">
        <f aca="false">IF(H119="Cancelled",0,IF(R119&lt;&gt;"",R119,IF(Q119&lt;&gt;"",Q119,0)))</f>
        <v>0</v>
      </c>
      <c r="T119" s="45" t="str">
        <f aca="false">IF(S119=0,"",IF(SUM(AE119:AN119)=0,"⚠ nobody picked",COUNTIF(AE119:AN119,"&gt;0")&amp;" people"))</f>
        <v/>
      </c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60" t="n">
        <f aca="false">IF(OR($S119=0,Setup!$B$18=""),0,IF(OR($G119="",$G119="Everyone"),1,IF($G119="Custom",N(U119),IF(OR($G119=Setup!$B$18,AND(Setup!$C$18&lt;&gt;"",$G119=Setup!$C$18)),1,0))))</f>
        <v>0</v>
      </c>
      <c r="AF119" s="60" t="n">
        <f aca="false">IF(OR($S119=0,Setup!$B$19=""),0,IF(OR($G119="",$G119="Everyone"),1,IF($G119="Custom",N(V119),IF(OR($G119=Setup!$B$19,AND(Setup!$C$19&lt;&gt;"",$G119=Setup!$C$19)),1,0))))</f>
        <v>0</v>
      </c>
      <c r="AG119" s="60" t="n">
        <f aca="false">IF(OR($S119=0,Setup!$B$20=""),0,IF(OR($G119="",$G119="Everyone"),1,IF($G119="Custom",N(W119),IF(OR($G119=Setup!$B$20,AND(Setup!$C$20&lt;&gt;"",$G119=Setup!$C$20)),1,0))))</f>
        <v>0</v>
      </c>
      <c r="AH119" s="60" t="n">
        <f aca="false">IF(OR($S119=0,Setup!$B$21=""),0,IF(OR($G119="",$G119="Everyone"),1,IF($G119="Custom",N(X119),IF(OR($G119=Setup!$B$21,AND(Setup!$C$21&lt;&gt;"",$G119=Setup!$C$21)),1,0))))</f>
        <v>0</v>
      </c>
      <c r="AI119" s="60" t="n">
        <f aca="false">IF(OR($S119=0,Setup!$B$22=""),0,IF(OR($G119="",$G119="Everyone"),1,IF($G119="Custom",N(Y119),IF(OR($G119=Setup!$B$22,AND(Setup!$C$22&lt;&gt;"",$G119=Setup!$C$22)),1,0))))</f>
        <v>0</v>
      </c>
      <c r="AJ119" s="60" t="n">
        <f aca="false">IF(OR($S119=0,Setup!$B$23=""),0,IF(OR($G119="",$G119="Everyone"),1,IF($G119="Custom",N(Z119),IF(OR($G119=Setup!$B$23,AND(Setup!$C$23&lt;&gt;"",$G119=Setup!$C$23)),1,0))))</f>
        <v>0</v>
      </c>
      <c r="AK119" s="60" t="n">
        <f aca="false">IF(OR($S119=0,Setup!$B$24=""),0,IF(OR($G119="",$G119="Everyone"),1,IF($G119="Custom",N(AA119),IF(OR($G119=Setup!$B$24,AND(Setup!$C$24&lt;&gt;"",$G119=Setup!$C$24)),1,0))))</f>
        <v>0</v>
      </c>
      <c r="AL119" s="60" t="n">
        <f aca="false">IF(OR($S119=0,Setup!$B$25=""),0,IF(OR($G119="",$G119="Everyone"),1,IF($G119="Custom",N(AB119),IF(OR($G119=Setup!$B$25,AND(Setup!$C$25&lt;&gt;"",$G119=Setup!$C$25)),1,0))))</f>
        <v>0</v>
      </c>
      <c r="AM119" s="60" t="n">
        <f aca="false">IF(OR($S119=0,Setup!$B$26=""),0,IF(OR($G119="",$G119="Everyone"),1,IF($G119="Custom",N(AC119),IF(OR($G119=Setup!$B$26,AND(Setup!$C$26&lt;&gt;"",$G119=Setup!$C$26)),1,0))))</f>
        <v>0</v>
      </c>
      <c r="AN119" s="60" t="n">
        <f aca="false">IF(OR($S119=0,Setup!$B$27=""),0,IF(OR($G119="",$G119="Everyone"),1,IF($G119="Custom",N(AD119),IF(OR($G119=Setup!$B$27,AND(Setup!$C$27&lt;&gt;"",$G119=Setup!$C$27)),1,0))))</f>
        <v>0</v>
      </c>
      <c r="AO119" s="60" t="n">
        <f aca="false">IF(SUM(AE119:AN119)=0,1,SUM(AE119:AN119))</f>
        <v>1</v>
      </c>
      <c r="AP119" s="60" t="n">
        <f aca="false">IF(H119="Paid",1,0)</f>
        <v>0</v>
      </c>
      <c r="AQ119" s="60" t="n">
        <f aca="false">IF(AND(S119&gt;0,SUM(AE119:AN119)=0),S119,0)</f>
        <v>0</v>
      </c>
      <c r="AR119" s="60" t="str">
        <f aca="false">IF(AND(N119&lt;&gt;"",TodayDay&lt;&gt;"",N119=TodayDay),COUNTIF($N$6:N119,TodayDay),"")</f>
        <v/>
      </c>
      <c r="AS119" s="60" t="n">
        <f aca="false">IF(B119="",0,IF(COUNTIFS(Settings!$A$5:$A$29,B119,Settings!$B$5:$B$29,"Yes")&gt;0,1,0))</f>
        <v>0</v>
      </c>
      <c r="AT119" s="61" t="n">
        <f aca="false">IF(OR(N119="",TodayDay=""),IF(N119="",S119,0),IF(N119&lt;TodayDay,S119,0))</f>
        <v>0</v>
      </c>
    </row>
    <row r="120" customFormat="false" ht="15" hidden="false" customHeight="false" outlineLevel="0" collapsed="false">
      <c r="A120" s="23"/>
      <c r="B120" s="23"/>
      <c r="C120" s="23"/>
      <c r="D120" s="56"/>
      <c r="E120" s="23"/>
      <c r="F120" s="23"/>
      <c r="G120" s="23"/>
      <c r="H120" s="23"/>
      <c r="I120" s="56"/>
      <c r="J120" s="23"/>
      <c r="K120" s="28"/>
      <c r="L120" s="23"/>
      <c r="M120" s="23"/>
      <c r="N120" s="25" t="str">
        <f aca="false">IF(A120="","",IF(LEFT(A120,3)="Pre",0,IFERROR(VALUE(MID(A120,5,FIND(" ",A120&amp;" ",5)-5)),"")))</f>
        <v/>
      </c>
      <c r="O120" s="57" t="str">
        <f aca="false">IF(N120="","",IF(N120=0,"Before trip",IF(TripStart="","",TripStart+N120-1)))</f>
        <v/>
      </c>
      <c r="P120" s="58" t="str">
        <f aca="false">IF(AND(D120="",I120=""),"",IF(OR(E120="",E120=HomeCcy),1,IFERROR(INDEX(Setup!$J$26:$J$33,MATCH(E120,Setup!$G$26:$G$33,0)),IFERROR(INDEX(Settings!$S$5:$S$64,MATCH(E120,Settings!$R$5:$R$64,0))/HomeINR,1))))</f>
        <v/>
      </c>
      <c r="Q120" s="34" t="str">
        <f aca="false">IF(D120="","",D120*P120)</f>
        <v/>
      </c>
      <c r="R120" s="34" t="str">
        <f aca="false">IF(I120="","",I120*P120)</f>
        <v/>
      </c>
      <c r="S120" s="33" t="n">
        <f aca="false">IF(H120="Cancelled",0,IF(R120&lt;&gt;"",R120,IF(Q120&lt;&gt;"",Q120,0)))</f>
        <v>0</v>
      </c>
      <c r="T120" s="45" t="str">
        <f aca="false">IF(S120=0,"",IF(SUM(AE120:AN120)=0,"⚠ nobody picked",COUNTIF(AE120:AN120,"&gt;0")&amp;" people"))</f>
        <v/>
      </c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60" t="n">
        <f aca="false">IF(OR($S120=0,Setup!$B$18=""),0,IF(OR($G120="",$G120="Everyone"),1,IF($G120="Custom",N(U120),IF(OR($G120=Setup!$B$18,AND(Setup!$C$18&lt;&gt;"",$G120=Setup!$C$18)),1,0))))</f>
        <v>0</v>
      </c>
      <c r="AF120" s="60" t="n">
        <f aca="false">IF(OR($S120=0,Setup!$B$19=""),0,IF(OR($G120="",$G120="Everyone"),1,IF($G120="Custom",N(V120),IF(OR($G120=Setup!$B$19,AND(Setup!$C$19&lt;&gt;"",$G120=Setup!$C$19)),1,0))))</f>
        <v>0</v>
      </c>
      <c r="AG120" s="60" t="n">
        <f aca="false">IF(OR($S120=0,Setup!$B$20=""),0,IF(OR($G120="",$G120="Everyone"),1,IF($G120="Custom",N(W120),IF(OR($G120=Setup!$B$20,AND(Setup!$C$20&lt;&gt;"",$G120=Setup!$C$20)),1,0))))</f>
        <v>0</v>
      </c>
      <c r="AH120" s="60" t="n">
        <f aca="false">IF(OR($S120=0,Setup!$B$21=""),0,IF(OR($G120="",$G120="Everyone"),1,IF($G120="Custom",N(X120),IF(OR($G120=Setup!$B$21,AND(Setup!$C$21&lt;&gt;"",$G120=Setup!$C$21)),1,0))))</f>
        <v>0</v>
      </c>
      <c r="AI120" s="60" t="n">
        <f aca="false">IF(OR($S120=0,Setup!$B$22=""),0,IF(OR($G120="",$G120="Everyone"),1,IF($G120="Custom",N(Y120),IF(OR($G120=Setup!$B$22,AND(Setup!$C$22&lt;&gt;"",$G120=Setup!$C$22)),1,0))))</f>
        <v>0</v>
      </c>
      <c r="AJ120" s="60" t="n">
        <f aca="false">IF(OR($S120=0,Setup!$B$23=""),0,IF(OR($G120="",$G120="Everyone"),1,IF($G120="Custom",N(Z120),IF(OR($G120=Setup!$B$23,AND(Setup!$C$23&lt;&gt;"",$G120=Setup!$C$23)),1,0))))</f>
        <v>0</v>
      </c>
      <c r="AK120" s="60" t="n">
        <f aca="false">IF(OR($S120=0,Setup!$B$24=""),0,IF(OR($G120="",$G120="Everyone"),1,IF($G120="Custom",N(AA120),IF(OR($G120=Setup!$B$24,AND(Setup!$C$24&lt;&gt;"",$G120=Setup!$C$24)),1,0))))</f>
        <v>0</v>
      </c>
      <c r="AL120" s="60" t="n">
        <f aca="false">IF(OR($S120=0,Setup!$B$25=""),0,IF(OR($G120="",$G120="Everyone"),1,IF($G120="Custom",N(AB120),IF(OR($G120=Setup!$B$25,AND(Setup!$C$25&lt;&gt;"",$G120=Setup!$C$25)),1,0))))</f>
        <v>0</v>
      </c>
      <c r="AM120" s="60" t="n">
        <f aca="false">IF(OR($S120=0,Setup!$B$26=""),0,IF(OR($G120="",$G120="Everyone"),1,IF($G120="Custom",N(AC120),IF(OR($G120=Setup!$B$26,AND(Setup!$C$26&lt;&gt;"",$G120=Setup!$C$26)),1,0))))</f>
        <v>0</v>
      </c>
      <c r="AN120" s="60" t="n">
        <f aca="false">IF(OR($S120=0,Setup!$B$27=""),0,IF(OR($G120="",$G120="Everyone"),1,IF($G120="Custom",N(AD120),IF(OR($G120=Setup!$B$27,AND(Setup!$C$27&lt;&gt;"",$G120=Setup!$C$27)),1,0))))</f>
        <v>0</v>
      </c>
      <c r="AO120" s="60" t="n">
        <f aca="false">IF(SUM(AE120:AN120)=0,1,SUM(AE120:AN120))</f>
        <v>1</v>
      </c>
      <c r="AP120" s="60" t="n">
        <f aca="false">IF(H120="Paid",1,0)</f>
        <v>0</v>
      </c>
      <c r="AQ120" s="60" t="n">
        <f aca="false">IF(AND(S120&gt;0,SUM(AE120:AN120)=0),S120,0)</f>
        <v>0</v>
      </c>
      <c r="AR120" s="60" t="str">
        <f aca="false">IF(AND(N120&lt;&gt;"",TodayDay&lt;&gt;"",N120=TodayDay),COUNTIF($N$6:N120,TodayDay),"")</f>
        <v/>
      </c>
      <c r="AS120" s="60" t="n">
        <f aca="false">IF(B120="",0,IF(COUNTIFS(Settings!$A$5:$A$29,B120,Settings!$B$5:$B$29,"Yes")&gt;0,1,0))</f>
        <v>0</v>
      </c>
      <c r="AT120" s="61" t="n">
        <f aca="false">IF(OR(N120="",TodayDay=""),IF(N120="",S120,0),IF(N120&lt;TodayDay,S120,0))</f>
        <v>0</v>
      </c>
    </row>
    <row r="121" customFormat="false" ht="15" hidden="false" customHeight="false" outlineLevel="0" collapsed="false">
      <c r="A121" s="23"/>
      <c r="B121" s="23"/>
      <c r="C121" s="23"/>
      <c r="D121" s="56"/>
      <c r="E121" s="23"/>
      <c r="F121" s="23"/>
      <c r="G121" s="23"/>
      <c r="H121" s="23"/>
      <c r="I121" s="56"/>
      <c r="J121" s="23"/>
      <c r="K121" s="28"/>
      <c r="L121" s="23"/>
      <c r="M121" s="23"/>
      <c r="N121" s="25" t="str">
        <f aca="false">IF(A121="","",IF(LEFT(A121,3)="Pre",0,IFERROR(VALUE(MID(A121,5,FIND(" ",A121&amp;" ",5)-5)),"")))</f>
        <v/>
      </c>
      <c r="O121" s="57" t="str">
        <f aca="false">IF(N121="","",IF(N121=0,"Before trip",IF(TripStart="","",TripStart+N121-1)))</f>
        <v/>
      </c>
      <c r="P121" s="58" t="str">
        <f aca="false">IF(AND(D121="",I121=""),"",IF(OR(E121="",E121=HomeCcy),1,IFERROR(INDEX(Setup!$J$26:$J$33,MATCH(E121,Setup!$G$26:$G$33,0)),IFERROR(INDEX(Settings!$S$5:$S$64,MATCH(E121,Settings!$R$5:$R$64,0))/HomeINR,1))))</f>
        <v/>
      </c>
      <c r="Q121" s="34" t="str">
        <f aca="false">IF(D121="","",D121*P121)</f>
        <v/>
      </c>
      <c r="R121" s="34" t="str">
        <f aca="false">IF(I121="","",I121*P121)</f>
        <v/>
      </c>
      <c r="S121" s="33" t="n">
        <f aca="false">IF(H121="Cancelled",0,IF(R121&lt;&gt;"",R121,IF(Q121&lt;&gt;"",Q121,0)))</f>
        <v>0</v>
      </c>
      <c r="T121" s="45" t="str">
        <f aca="false">IF(S121=0,"",IF(SUM(AE121:AN121)=0,"⚠ nobody picked",COUNTIF(AE121:AN121,"&gt;0")&amp;" people"))</f>
        <v/>
      </c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60" t="n">
        <f aca="false">IF(OR($S121=0,Setup!$B$18=""),0,IF(OR($G121="",$G121="Everyone"),1,IF($G121="Custom",N(U121),IF(OR($G121=Setup!$B$18,AND(Setup!$C$18&lt;&gt;"",$G121=Setup!$C$18)),1,0))))</f>
        <v>0</v>
      </c>
      <c r="AF121" s="60" t="n">
        <f aca="false">IF(OR($S121=0,Setup!$B$19=""),0,IF(OR($G121="",$G121="Everyone"),1,IF($G121="Custom",N(V121),IF(OR($G121=Setup!$B$19,AND(Setup!$C$19&lt;&gt;"",$G121=Setup!$C$19)),1,0))))</f>
        <v>0</v>
      </c>
      <c r="AG121" s="60" t="n">
        <f aca="false">IF(OR($S121=0,Setup!$B$20=""),0,IF(OR($G121="",$G121="Everyone"),1,IF($G121="Custom",N(W121),IF(OR($G121=Setup!$B$20,AND(Setup!$C$20&lt;&gt;"",$G121=Setup!$C$20)),1,0))))</f>
        <v>0</v>
      </c>
      <c r="AH121" s="60" t="n">
        <f aca="false">IF(OR($S121=0,Setup!$B$21=""),0,IF(OR($G121="",$G121="Everyone"),1,IF($G121="Custom",N(X121),IF(OR($G121=Setup!$B$21,AND(Setup!$C$21&lt;&gt;"",$G121=Setup!$C$21)),1,0))))</f>
        <v>0</v>
      </c>
      <c r="AI121" s="60" t="n">
        <f aca="false">IF(OR($S121=0,Setup!$B$22=""),0,IF(OR($G121="",$G121="Everyone"),1,IF($G121="Custom",N(Y121),IF(OR($G121=Setup!$B$22,AND(Setup!$C$22&lt;&gt;"",$G121=Setup!$C$22)),1,0))))</f>
        <v>0</v>
      </c>
      <c r="AJ121" s="60" t="n">
        <f aca="false">IF(OR($S121=0,Setup!$B$23=""),0,IF(OR($G121="",$G121="Everyone"),1,IF($G121="Custom",N(Z121),IF(OR($G121=Setup!$B$23,AND(Setup!$C$23&lt;&gt;"",$G121=Setup!$C$23)),1,0))))</f>
        <v>0</v>
      </c>
      <c r="AK121" s="60" t="n">
        <f aca="false">IF(OR($S121=0,Setup!$B$24=""),0,IF(OR($G121="",$G121="Everyone"),1,IF($G121="Custom",N(AA121),IF(OR($G121=Setup!$B$24,AND(Setup!$C$24&lt;&gt;"",$G121=Setup!$C$24)),1,0))))</f>
        <v>0</v>
      </c>
      <c r="AL121" s="60" t="n">
        <f aca="false">IF(OR($S121=0,Setup!$B$25=""),0,IF(OR($G121="",$G121="Everyone"),1,IF($G121="Custom",N(AB121),IF(OR($G121=Setup!$B$25,AND(Setup!$C$25&lt;&gt;"",$G121=Setup!$C$25)),1,0))))</f>
        <v>0</v>
      </c>
      <c r="AM121" s="60" t="n">
        <f aca="false">IF(OR($S121=0,Setup!$B$26=""),0,IF(OR($G121="",$G121="Everyone"),1,IF($G121="Custom",N(AC121),IF(OR($G121=Setup!$B$26,AND(Setup!$C$26&lt;&gt;"",$G121=Setup!$C$26)),1,0))))</f>
        <v>0</v>
      </c>
      <c r="AN121" s="60" t="n">
        <f aca="false">IF(OR($S121=0,Setup!$B$27=""),0,IF(OR($G121="",$G121="Everyone"),1,IF($G121="Custom",N(AD121),IF(OR($G121=Setup!$B$27,AND(Setup!$C$27&lt;&gt;"",$G121=Setup!$C$27)),1,0))))</f>
        <v>0</v>
      </c>
      <c r="AO121" s="60" t="n">
        <f aca="false">IF(SUM(AE121:AN121)=0,1,SUM(AE121:AN121))</f>
        <v>1</v>
      </c>
      <c r="AP121" s="60" t="n">
        <f aca="false">IF(H121="Paid",1,0)</f>
        <v>0</v>
      </c>
      <c r="AQ121" s="60" t="n">
        <f aca="false">IF(AND(S121&gt;0,SUM(AE121:AN121)=0),S121,0)</f>
        <v>0</v>
      </c>
      <c r="AR121" s="60" t="str">
        <f aca="false">IF(AND(N121&lt;&gt;"",TodayDay&lt;&gt;"",N121=TodayDay),COUNTIF($N$6:N121,TodayDay),"")</f>
        <v/>
      </c>
      <c r="AS121" s="60" t="n">
        <f aca="false">IF(B121="",0,IF(COUNTIFS(Settings!$A$5:$A$29,B121,Settings!$B$5:$B$29,"Yes")&gt;0,1,0))</f>
        <v>0</v>
      </c>
      <c r="AT121" s="61" t="n">
        <f aca="false">IF(OR(N121="",TodayDay=""),IF(N121="",S121,0),IF(N121&lt;TodayDay,S121,0))</f>
        <v>0</v>
      </c>
    </row>
    <row r="122" customFormat="false" ht="15" hidden="false" customHeight="false" outlineLevel="0" collapsed="false">
      <c r="A122" s="23"/>
      <c r="B122" s="23"/>
      <c r="C122" s="23"/>
      <c r="D122" s="56"/>
      <c r="E122" s="23"/>
      <c r="F122" s="23"/>
      <c r="G122" s="23"/>
      <c r="H122" s="23"/>
      <c r="I122" s="56"/>
      <c r="J122" s="23"/>
      <c r="K122" s="28"/>
      <c r="L122" s="23"/>
      <c r="M122" s="23"/>
      <c r="N122" s="25" t="str">
        <f aca="false">IF(A122="","",IF(LEFT(A122,3)="Pre",0,IFERROR(VALUE(MID(A122,5,FIND(" ",A122&amp;" ",5)-5)),"")))</f>
        <v/>
      </c>
      <c r="O122" s="57" t="str">
        <f aca="false">IF(N122="","",IF(N122=0,"Before trip",IF(TripStart="","",TripStart+N122-1)))</f>
        <v/>
      </c>
      <c r="P122" s="58" t="str">
        <f aca="false">IF(AND(D122="",I122=""),"",IF(OR(E122="",E122=HomeCcy),1,IFERROR(INDEX(Setup!$J$26:$J$33,MATCH(E122,Setup!$G$26:$G$33,0)),IFERROR(INDEX(Settings!$S$5:$S$64,MATCH(E122,Settings!$R$5:$R$64,0))/HomeINR,1))))</f>
        <v/>
      </c>
      <c r="Q122" s="34" t="str">
        <f aca="false">IF(D122="","",D122*P122)</f>
        <v/>
      </c>
      <c r="R122" s="34" t="str">
        <f aca="false">IF(I122="","",I122*P122)</f>
        <v/>
      </c>
      <c r="S122" s="33" t="n">
        <f aca="false">IF(H122="Cancelled",0,IF(R122&lt;&gt;"",R122,IF(Q122&lt;&gt;"",Q122,0)))</f>
        <v>0</v>
      </c>
      <c r="T122" s="45" t="str">
        <f aca="false">IF(S122=0,"",IF(SUM(AE122:AN122)=0,"⚠ nobody picked",COUNTIF(AE122:AN122,"&gt;0")&amp;" people"))</f>
        <v/>
      </c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60" t="n">
        <f aca="false">IF(OR($S122=0,Setup!$B$18=""),0,IF(OR($G122="",$G122="Everyone"),1,IF($G122="Custom",N(U122),IF(OR($G122=Setup!$B$18,AND(Setup!$C$18&lt;&gt;"",$G122=Setup!$C$18)),1,0))))</f>
        <v>0</v>
      </c>
      <c r="AF122" s="60" t="n">
        <f aca="false">IF(OR($S122=0,Setup!$B$19=""),0,IF(OR($G122="",$G122="Everyone"),1,IF($G122="Custom",N(V122),IF(OR($G122=Setup!$B$19,AND(Setup!$C$19&lt;&gt;"",$G122=Setup!$C$19)),1,0))))</f>
        <v>0</v>
      </c>
      <c r="AG122" s="60" t="n">
        <f aca="false">IF(OR($S122=0,Setup!$B$20=""),0,IF(OR($G122="",$G122="Everyone"),1,IF($G122="Custom",N(W122),IF(OR($G122=Setup!$B$20,AND(Setup!$C$20&lt;&gt;"",$G122=Setup!$C$20)),1,0))))</f>
        <v>0</v>
      </c>
      <c r="AH122" s="60" t="n">
        <f aca="false">IF(OR($S122=0,Setup!$B$21=""),0,IF(OR($G122="",$G122="Everyone"),1,IF($G122="Custom",N(X122),IF(OR($G122=Setup!$B$21,AND(Setup!$C$21&lt;&gt;"",$G122=Setup!$C$21)),1,0))))</f>
        <v>0</v>
      </c>
      <c r="AI122" s="60" t="n">
        <f aca="false">IF(OR($S122=0,Setup!$B$22=""),0,IF(OR($G122="",$G122="Everyone"),1,IF($G122="Custom",N(Y122),IF(OR($G122=Setup!$B$22,AND(Setup!$C$22&lt;&gt;"",$G122=Setup!$C$22)),1,0))))</f>
        <v>0</v>
      </c>
      <c r="AJ122" s="60" t="n">
        <f aca="false">IF(OR($S122=0,Setup!$B$23=""),0,IF(OR($G122="",$G122="Everyone"),1,IF($G122="Custom",N(Z122),IF(OR($G122=Setup!$B$23,AND(Setup!$C$23&lt;&gt;"",$G122=Setup!$C$23)),1,0))))</f>
        <v>0</v>
      </c>
      <c r="AK122" s="60" t="n">
        <f aca="false">IF(OR($S122=0,Setup!$B$24=""),0,IF(OR($G122="",$G122="Everyone"),1,IF($G122="Custom",N(AA122),IF(OR($G122=Setup!$B$24,AND(Setup!$C$24&lt;&gt;"",$G122=Setup!$C$24)),1,0))))</f>
        <v>0</v>
      </c>
      <c r="AL122" s="60" t="n">
        <f aca="false">IF(OR($S122=0,Setup!$B$25=""),0,IF(OR($G122="",$G122="Everyone"),1,IF($G122="Custom",N(AB122),IF(OR($G122=Setup!$B$25,AND(Setup!$C$25&lt;&gt;"",$G122=Setup!$C$25)),1,0))))</f>
        <v>0</v>
      </c>
      <c r="AM122" s="60" t="n">
        <f aca="false">IF(OR($S122=0,Setup!$B$26=""),0,IF(OR($G122="",$G122="Everyone"),1,IF($G122="Custom",N(AC122),IF(OR($G122=Setup!$B$26,AND(Setup!$C$26&lt;&gt;"",$G122=Setup!$C$26)),1,0))))</f>
        <v>0</v>
      </c>
      <c r="AN122" s="60" t="n">
        <f aca="false">IF(OR($S122=0,Setup!$B$27=""),0,IF(OR($G122="",$G122="Everyone"),1,IF($G122="Custom",N(AD122),IF(OR($G122=Setup!$B$27,AND(Setup!$C$27&lt;&gt;"",$G122=Setup!$C$27)),1,0))))</f>
        <v>0</v>
      </c>
      <c r="AO122" s="60" t="n">
        <f aca="false">IF(SUM(AE122:AN122)=0,1,SUM(AE122:AN122))</f>
        <v>1</v>
      </c>
      <c r="AP122" s="60" t="n">
        <f aca="false">IF(H122="Paid",1,0)</f>
        <v>0</v>
      </c>
      <c r="AQ122" s="60" t="n">
        <f aca="false">IF(AND(S122&gt;0,SUM(AE122:AN122)=0),S122,0)</f>
        <v>0</v>
      </c>
      <c r="AR122" s="60" t="str">
        <f aca="false">IF(AND(N122&lt;&gt;"",TodayDay&lt;&gt;"",N122=TodayDay),COUNTIF($N$6:N122,TodayDay),"")</f>
        <v/>
      </c>
      <c r="AS122" s="60" t="n">
        <f aca="false">IF(B122="",0,IF(COUNTIFS(Settings!$A$5:$A$29,B122,Settings!$B$5:$B$29,"Yes")&gt;0,1,0))</f>
        <v>0</v>
      </c>
      <c r="AT122" s="61" t="n">
        <f aca="false">IF(OR(N122="",TodayDay=""),IF(N122="",S122,0),IF(N122&lt;TodayDay,S122,0))</f>
        <v>0</v>
      </c>
    </row>
    <row r="123" customFormat="false" ht="15" hidden="false" customHeight="false" outlineLevel="0" collapsed="false">
      <c r="A123" s="23"/>
      <c r="B123" s="23"/>
      <c r="C123" s="23"/>
      <c r="D123" s="56"/>
      <c r="E123" s="23"/>
      <c r="F123" s="23"/>
      <c r="G123" s="23"/>
      <c r="H123" s="23"/>
      <c r="I123" s="56"/>
      <c r="J123" s="23"/>
      <c r="K123" s="28"/>
      <c r="L123" s="23"/>
      <c r="M123" s="23"/>
      <c r="N123" s="25" t="str">
        <f aca="false">IF(A123="","",IF(LEFT(A123,3)="Pre",0,IFERROR(VALUE(MID(A123,5,FIND(" ",A123&amp;" ",5)-5)),"")))</f>
        <v/>
      </c>
      <c r="O123" s="57" t="str">
        <f aca="false">IF(N123="","",IF(N123=0,"Before trip",IF(TripStart="","",TripStart+N123-1)))</f>
        <v/>
      </c>
      <c r="P123" s="58" t="str">
        <f aca="false">IF(AND(D123="",I123=""),"",IF(OR(E123="",E123=HomeCcy),1,IFERROR(INDEX(Setup!$J$26:$J$33,MATCH(E123,Setup!$G$26:$G$33,0)),IFERROR(INDEX(Settings!$S$5:$S$64,MATCH(E123,Settings!$R$5:$R$64,0))/HomeINR,1))))</f>
        <v/>
      </c>
      <c r="Q123" s="34" t="str">
        <f aca="false">IF(D123="","",D123*P123)</f>
        <v/>
      </c>
      <c r="R123" s="34" t="str">
        <f aca="false">IF(I123="","",I123*P123)</f>
        <v/>
      </c>
      <c r="S123" s="33" t="n">
        <f aca="false">IF(H123="Cancelled",0,IF(R123&lt;&gt;"",R123,IF(Q123&lt;&gt;"",Q123,0)))</f>
        <v>0</v>
      </c>
      <c r="T123" s="45" t="str">
        <f aca="false">IF(S123=0,"",IF(SUM(AE123:AN123)=0,"⚠ nobody picked",COUNTIF(AE123:AN123,"&gt;0")&amp;" people"))</f>
        <v/>
      </c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60" t="n">
        <f aca="false">IF(OR($S123=0,Setup!$B$18=""),0,IF(OR($G123="",$G123="Everyone"),1,IF($G123="Custom",N(U123),IF(OR($G123=Setup!$B$18,AND(Setup!$C$18&lt;&gt;"",$G123=Setup!$C$18)),1,0))))</f>
        <v>0</v>
      </c>
      <c r="AF123" s="60" t="n">
        <f aca="false">IF(OR($S123=0,Setup!$B$19=""),0,IF(OR($G123="",$G123="Everyone"),1,IF($G123="Custom",N(V123),IF(OR($G123=Setup!$B$19,AND(Setup!$C$19&lt;&gt;"",$G123=Setup!$C$19)),1,0))))</f>
        <v>0</v>
      </c>
      <c r="AG123" s="60" t="n">
        <f aca="false">IF(OR($S123=0,Setup!$B$20=""),0,IF(OR($G123="",$G123="Everyone"),1,IF($G123="Custom",N(W123),IF(OR($G123=Setup!$B$20,AND(Setup!$C$20&lt;&gt;"",$G123=Setup!$C$20)),1,0))))</f>
        <v>0</v>
      </c>
      <c r="AH123" s="60" t="n">
        <f aca="false">IF(OR($S123=0,Setup!$B$21=""),0,IF(OR($G123="",$G123="Everyone"),1,IF($G123="Custom",N(X123),IF(OR($G123=Setup!$B$21,AND(Setup!$C$21&lt;&gt;"",$G123=Setup!$C$21)),1,0))))</f>
        <v>0</v>
      </c>
      <c r="AI123" s="60" t="n">
        <f aca="false">IF(OR($S123=0,Setup!$B$22=""),0,IF(OR($G123="",$G123="Everyone"),1,IF($G123="Custom",N(Y123),IF(OR($G123=Setup!$B$22,AND(Setup!$C$22&lt;&gt;"",$G123=Setup!$C$22)),1,0))))</f>
        <v>0</v>
      </c>
      <c r="AJ123" s="60" t="n">
        <f aca="false">IF(OR($S123=0,Setup!$B$23=""),0,IF(OR($G123="",$G123="Everyone"),1,IF($G123="Custom",N(Z123),IF(OR($G123=Setup!$B$23,AND(Setup!$C$23&lt;&gt;"",$G123=Setup!$C$23)),1,0))))</f>
        <v>0</v>
      </c>
      <c r="AK123" s="60" t="n">
        <f aca="false">IF(OR($S123=0,Setup!$B$24=""),0,IF(OR($G123="",$G123="Everyone"),1,IF($G123="Custom",N(AA123),IF(OR($G123=Setup!$B$24,AND(Setup!$C$24&lt;&gt;"",$G123=Setup!$C$24)),1,0))))</f>
        <v>0</v>
      </c>
      <c r="AL123" s="60" t="n">
        <f aca="false">IF(OR($S123=0,Setup!$B$25=""),0,IF(OR($G123="",$G123="Everyone"),1,IF($G123="Custom",N(AB123),IF(OR($G123=Setup!$B$25,AND(Setup!$C$25&lt;&gt;"",$G123=Setup!$C$25)),1,0))))</f>
        <v>0</v>
      </c>
      <c r="AM123" s="60" t="n">
        <f aca="false">IF(OR($S123=0,Setup!$B$26=""),0,IF(OR($G123="",$G123="Everyone"),1,IF($G123="Custom",N(AC123),IF(OR($G123=Setup!$B$26,AND(Setup!$C$26&lt;&gt;"",$G123=Setup!$C$26)),1,0))))</f>
        <v>0</v>
      </c>
      <c r="AN123" s="60" t="n">
        <f aca="false">IF(OR($S123=0,Setup!$B$27=""),0,IF(OR($G123="",$G123="Everyone"),1,IF($G123="Custom",N(AD123),IF(OR($G123=Setup!$B$27,AND(Setup!$C$27&lt;&gt;"",$G123=Setup!$C$27)),1,0))))</f>
        <v>0</v>
      </c>
      <c r="AO123" s="60" t="n">
        <f aca="false">IF(SUM(AE123:AN123)=0,1,SUM(AE123:AN123))</f>
        <v>1</v>
      </c>
      <c r="AP123" s="60" t="n">
        <f aca="false">IF(H123="Paid",1,0)</f>
        <v>0</v>
      </c>
      <c r="AQ123" s="60" t="n">
        <f aca="false">IF(AND(S123&gt;0,SUM(AE123:AN123)=0),S123,0)</f>
        <v>0</v>
      </c>
      <c r="AR123" s="60" t="str">
        <f aca="false">IF(AND(N123&lt;&gt;"",TodayDay&lt;&gt;"",N123=TodayDay),COUNTIF($N$6:N123,TodayDay),"")</f>
        <v/>
      </c>
      <c r="AS123" s="60" t="n">
        <f aca="false">IF(B123="",0,IF(COUNTIFS(Settings!$A$5:$A$29,B123,Settings!$B$5:$B$29,"Yes")&gt;0,1,0))</f>
        <v>0</v>
      </c>
      <c r="AT123" s="61" t="n">
        <f aca="false">IF(OR(N123="",TodayDay=""),IF(N123="",S123,0),IF(N123&lt;TodayDay,S123,0))</f>
        <v>0</v>
      </c>
    </row>
    <row r="124" customFormat="false" ht="15" hidden="false" customHeight="false" outlineLevel="0" collapsed="false">
      <c r="A124" s="23"/>
      <c r="B124" s="23"/>
      <c r="C124" s="23"/>
      <c r="D124" s="56"/>
      <c r="E124" s="23"/>
      <c r="F124" s="23"/>
      <c r="G124" s="23"/>
      <c r="H124" s="23"/>
      <c r="I124" s="56"/>
      <c r="J124" s="23"/>
      <c r="K124" s="28"/>
      <c r="L124" s="23"/>
      <c r="M124" s="23"/>
      <c r="N124" s="25" t="str">
        <f aca="false">IF(A124="","",IF(LEFT(A124,3)="Pre",0,IFERROR(VALUE(MID(A124,5,FIND(" ",A124&amp;" ",5)-5)),"")))</f>
        <v/>
      </c>
      <c r="O124" s="57" t="str">
        <f aca="false">IF(N124="","",IF(N124=0,"Before trip",IF(TripStart="","",TripStart+N124-1)))</f>
        <v/>
      </c>
      <c r="P124" s="58" t="str">
        <f aca="false">IF(AND(D124="",I124=""),"",IF(OR(E124="",E124=HomeCcy),1,IFERROR(INDEX(Setup!$J$26:$J$33,MATCH(E124,Setup!$G$26:$G$33,0)),IFERROR(INDEX(Settings!$S$5:$S$64,MATCH(E124,Settings!$R$5:$R$64,0))/HomeINR,1))))</f>
        <v/>
      </c>
      <c r="Q124" s="34" t="str">
        <f aca="false">IF(D124="","",D124*P124)</f>
        <v/>
      </c>
      <c r="R124" s="34" t="str">
        <f aca="false">IF(I124="","",I124*P124)</f>
        <v/>
      </c>
      <c r="S124" s="33" t="n">
        <f aca="false">IF(H124="Cancelled",0,IF(R124&lt;&gt;"",R124,IF(Q124&lt;&gt;"",Q124,0)))</f>
        <v>0</v>
      </c>
      <c r="T124" s="45" t="str">
        <f aca="false">IF(S124=0,"",IF(SUM(AE124:AN124)=0,"⚠ nobody picked",COUNTIF(AE124:AN124,"&gt;0")&amp;" people"))</f>
        <v/>
      </c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60" t="n">
        <f aca="false">IF(OR($S124=0,Setup!$B$18=""),0,IF(OR($G124="",$G124="Everyone"),1,IF($G124="Custom",N(U124),IF(OR($G124=Setup!$B$18,AND(Setup!$C$18&lt;&gt;"",$G124=Setup!$C$18)),1,0))))</f>
        <v>0</v>
      </c>
      <c r="AF124" s="60" t="n">
        <f aca="false">IF(OR($S124=0,Setup!$B$19=""),0,IF(OR($G124="",$G124="Everyone"),1,IF($G124="Custom",N(V124),IF(OR($G124=Setup!$B$19,AND(Setup!$C$19&lt;&gt;"",$G124=Setup!$C$19)),1,0))))</f>
        <v>0</v>
      </c>
      <c r="AG124" s="60" t="n">
        <f aca="false">IF(OR($S124=0,Setup!$B$20=""),0,IF(OR($G124="",$G124="Everyone"),1,IF($G124="Custom",N(W124),IF(OR($G124=Setup!$B$20,AND(Setup!$C$20&lt;&gt;"",$G124=Setup!$C$20)),1,0))))</f>
        <v>0</v>
      </c>
      <c r="AH124" s="60" t="n">
        <f aca="false">IF(OR($S124=0,Setup!$B$21=""),0,IF(OR($G124="",$G124="Everyone"),1,IF($G124="Custom",N(X124),IF(OR($G124=Setup!$B$21,AND(Setup!$C$21&lt;&gt;"",$G124=Setup!$C$21)),1,0))))</f>
        <v>0</v>
      </c>
      <c r="AI124" s="60" t="n">
        <f aca="false">IF(OR($S124=0,Setup!$B$22=""),0,IF(OR($G124="",$G124="Everyone"),1,IF($G124="Custom",N(Y124),IF(OR($G124=Setup!$B$22,AND(Setup!$C$22&lt;&gt;"",$G124=Setup!$C$22)),1,0))))</f>
        <v>0</v>
      </c>
      <c r="AJ124" s="60" t="n">
        <f aca="false">IF(OR($S124=0,Setup!$B$23=""),0,IF(OR($G124="",$G124="Everyone"),1,IF($G124="Custom",N(Z124),IF(OR($G124=Setup!$B$23,AND(Setup!$C$23&lt;&gt;"",$G124=Setup!$C$23)),1,0))))</f>
        <v>0</v>
      </c>
      <c r="AK124" s="60" t="n">
        <f aca="false">IF(OR($S124=0,Setup!$B$24=""),0,IF(OR($G124="",$G124="Everyone"),1,IF($G124="Custom",N(AA124),IF(OR($G124=Setup!$B$24,AND(Setup!$C$24&lt;&gt;"",$G124=Setup!$C$24)),1,0))))</f>
        <v>0</v>
      </c>
      <c r="AL124" s="60" t="n">
        <f aca="false">IF(OR($S124=0,Setup!$B$25=""),0,IF(OR($G124="",$G124="Everyone"),1,IF($G124="Custom",N(AB124),IF(OR($G124=Setup!$B$25,AND(Setup!$C$25&lt;&gt;"",$G124=Setup!$C$25)),1,0))))</f>
        <v>0</v>
      </c>
      <c r="AM124" s="60" t="n">
        <f aca="false">IF(OR($S124=0,Setup!$B$26=""),0,IF(OR($G124="",$G124="Everyone"),1,IF($G124="Custom",N(AC124),IF(OR($G124=Setup!$B$26,AND(Setup!$C$26&lt;&gt;"",$G124=Setup!$C$26)),1,0))))</f>
        <v>0</v>
      </c>
      <c r="AN124" s="60" t="n">
        <f aca="false">IF(OR($S124=0,Setup!$B$27=""),0,IF(OR($G124="",$G124="Everyone"),1,IF($G124="Custom",N(AD124),IF(OR($G124=Setup!$B$27,AND(Setup!$C$27&lt;&gt;"",$G124=Setup!$C$27)),1,0))))</f>
        <v>0</v>
      </c>
      <c r="AO124" s="60" t="n">
        <f aca="false">IF(SUM(AE124:AN124)=0,1,SUM(AE124:AN124))</f>
        <v>1</v>
      </c>
      <c r="AP124" s="60" t="n">
        <f aca="false">IF(H124="Paid",1,0)</f>
        <v>0</v>
      </c>
      <c r="AQ124" s="60" t="n">
        <f aca="false">IF(AND(S124&gt;0,SUM(AE124:AN124)=0),S124,0)</f>
        <v>0</v>
      </c>
      <c r="AR124" s="60" t="str">
        <f aca="false">IF(AND(N124&lt;&gt;"",TodayDay&lt;&gt;"",N124=TodayDay),COUNTIF($N$6:N124,TodayDay),"")</f>
        <v/>
      </c>
      <c r="AS124" s="60" t="n">
        <f aca="false">IF(B124="",0,IF(COUNTIFS(Settings!$A$5:$A$29,B124,Settings!$B$5:$B$29,"Yes")&gt;0,1,0))</f>
        <v>0</v>
      </c>
      <c r="AT124" s="61" t="n">
        <f aca="false">IF(OR(N124="",TodayDay=""),IF(N124="",S124,0),IF(N124&lt;TodayDay,S124,0))</f>
        <v>0</v>
      </c>
    </row>
    <row r="125" customFormat="false" ht="15" hidden="false" customHeight="false" outlineLevel="0" collapsed="false">
      <c r="A125" s="23"/>
      <c r="B125" s="23"/>
      <c r="C125" s="23"/>
      <c r="D125" s="56"/>
      <c r="E125" s="23"/>
      <c r="F125" s="23"/>
      <c r="G125" s="23"/>
      <c r="H125" s="23"/>
      <c r="I125" s="56"/>
      <c r="J125" s="23"/>
      <c r="K125" s="28"/>
      <c r="L125" s="23"/>
      <c r="M125" s="23"/>
      <c r="N125" s="25" t="str">
        <f aca="false">IF(A125="","",IF(LEFT(A125,3)="Pre",0,IFERROR(VALUE(MID(A125,5,FIND(" ",A125&amp;" ",5)-5)),"")))</f>
        <v/>
      </c>
      <c r="O125" s="57" t="str">
        <f aca="false">IF(N125="","",IF(N125=0,"Before trip",IF(TripStart="","",TripStart+N125-1)))</f>
        <v/>
      </c>
      <c r="P125" s="58" t="str">
        <f aca="false">IF(AND(D125="",I125=""),"",IF(OR(E125="",E125=HomeCcy),1,IFERROR(INDEX(Setup!$J$26:$J$33,MATCH(E125,Setup!$G$26:$G$33,0)),IFERROR(INDEX(Settings!$S$5:$S$64,MATCH(E125,Settings!$R$5:$R$64,0))/HomeINR,1))))</f>
        <v/>
      </c>
      <c r="Q125" s="34" t="str">
        <f aca="false">IF(D125="","",D125*P125)</f>
        <v/>
      </c>
      <c r="R125" s="34" t="str">
        <f aca="false">IF(I125="","",I125*P125)</f>
        <v/>
      </c>
      <c r="S125" s="33" t="n">
        <f aca="false">IF(H125="Cancelled",0,IF(R125&lt;&gt;"",R125,IF(Q125&lt;&gt;"",Q125,0)))</f>
        <v>0</v>
      </c>
      <c r="T125" s="45" t="str">
        <f aca="false">IF(S125=0,"",IF(SUM(AE125:AN125)=0,"⚠ nobody picked",COUNTIF(AE125:AN125,"&gt;0")&amp;" people"))</f>
        <v/>
      </c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60" t="n">
        <f aca="false">IF(OR($S125=0,Setup!$B$18=""),0,IF(OR($G125="",$G125="Everyone"),1,IF($G125="Custom",N(U125),IF(OR($G125=Setup!$B$18,AND(Setup!$C$18&lt;&gt;"",$G125=Setup!$C$18)),1,0))))</f>
        <v>0</v>
      </c>
      <c r="AF125" s="60" t="n">
        <f aca="false">IF(OR($S125=0,Setup!$B$19=""),0,IF(OR($G125="",$G125="Everyone"),1,IF($G125="Custom",N(V125),IF(OR($G125=Setup!$B$19,AND(Setup!$C$19&lt;&gt;"",$G125=Setup!$C$19)),1,0))))</f>
        <v>0</v>
      </c>
      <c r="AG125" s="60" t="n">
        <f aca="false">IF(OR($S125=0,Setup!$B$20=""),0,IF(OR($G125="",$G125="Everyone"),1,IF($G125="Custom",N(W125),IF(OR($G125=Setup!$B$20,AND(Setup!$C$20&lt;&gt;"",$G125=Setup!$C$20)),1,0))))</f>
        <v>0</v>
      </c>
      <c r="AH125" s="60" t="n">
        <f aca="false">IF(OR($S125=0,Setup!$B$21=""),0,IF(OR($G125="",$G125="Everyone"),1,IF($G125="Custom",N(X125),IF(OR($G125=Setup!$B$21,AND(Setup!$C$21&lt;&gt;"",$G125=Setup!$C$21)),1,0))))</f>
        <v>0</v>
      </c>
      <c r="AI125" s="60" t="n">
        <f aca="false">IF(OR($S125=0,Setup!$B$22=""),0,IF(OR($G125="",$G125="Everyone"),1,IF($G125="Custom",N(Y125),IF(OR($G125=Setup!$B$22,AND(Setup!$C$22&lt;&gt;"",$G125=Setup!$C$22)),1,0))))</f>
        <v>0</v>
      </c>
      <c r="AJ125" s="60" t="n">
        <f aca="false">IF(OR($S125=0,Setup!$B$23=""),0,IF(OR($G125="",$G125="Everyone"),1,IF($G125="Custom",N(Z125),IF(OR($G125=Setup!$B$23,AND(Setup!$C$23&lt;&gt;"",$G125=Setup!$C$23)),1,0))))</f>
        <v>0</v>
      </c>
      <c r="AK125" s="60" t="n">
        <f aca="false">IF(OR($S125=0,Setup!$B$24=""),0,IF(OR($G125="",$G125="Everyone"),1,IF($G125="Custom",N(AA125),IF(OR($G125=Setup!$B$24,AND(Setup!$C$24&lt;&gt;"",$G125=Setup!$C$24)),1,0))))</f>
        <v>0</v>
      </c>
      <c r="AL125" s="60" t="n">
        <f aca="false">IF(OR($S125=0,Setup!$B$25=""),0,IF(OR($G125="",$G125="Everyone"),1,IF($G125="Custom",N(AB125),IF(OR($G125=Setup!$B$25,AND(Setup!$C$25&lt;&gt;"",$G125=Setup!$C$25)),1,0))))</f>
        <v>0</v>
      </c>
      <c r="AM125" s="60" t="n">
        <f aca="false">IF(OR($S125=0,Setup!$B$26=""),0,IF(OR($G125="",$G125="Everyone"),1,IF($G125="Custom",N(AC125),IF(OR($G125=Setup!$B$26,AND(Setup!$C$26&lt;&gt;"",$G125=Setup!$C$26)),1,0))))</f>
        <v>0</v>
      </c>
      <c r="AN125" s="60" t="n">
        <f aca="false">IF(OR($S125=0,Setup!$B$27=""),0,IF(OR($G125="",$G125="Everyone"),1,IF($G125="Custom",N(AD125),IF(OR($G125=Setup!$B$27,AND(Setup!$C$27&lt;&gt;"",$G125=Setup!$C$27)),1,0))))</f>
        <v>0</v>
      </c>
      <c r="AO125" s="60" t="n">
        <f aca="false">IF(SUM(AE125:AN125)=0,1,SUM(AE125:AN125))</f>
        <v>1</v>
      </c>
      <c r="AP125" s="60" t="n">
        <f aca="false">IF(H125="Paid",1,0)</f>
        <v>0</v>
      </c>
      <c r="AQ125" s="60" t="n">
        <f aca="false">IF(AND(S125&gt;0,SUM(AE125:AN125)=0),S125,0)</f>
        <v>0</v>
      </c>
      <c r="AR125" s="60" t="str">
        <f aca="false">IF(AND(N125&lt;&gt;"",TodayDay&lt;&gt;"",N125=TodayDay),COUNTIF($N$6:N125,TodayDay),"")</f>
        <v/>
      </c>
      <c r="AS125" s="60" t="n">
        <f aca="false">IF(B125="",0,IF(COUNTIFS(Settings!$A$5:$A$29,B125,Settings!$B$5:$B$29,"Yes")&gt;0,1,0))</f>
        <v>0</v>
      </c>
      <c r="AT125" s="61" t="n">
        <f aca="false">IF(OR(N125="",TodayDay=""),IF(N125="",S125,0),IF(N125&lt;TodayDay,S125,0))</f>
        <v>0</v>
      </c>
    </row>
    <row r="126" customFormat="false" ht="15" hidden="false" customHeight="false" outlineLevel="0" collapsed="false">
      <c r="A126" s="23"/>
      <c r="B126" s="23"/>
      <c r="C126" s="23"/>
      <c r="D126" s="56"/>
      <c r="E126" s="23"/>
      <c r="F126" s="23"/>
      <c r="G126" s="23"/>
      <c r="H126" s="23"/>
      <c r="I126" s="56"/>
      <c r="J126" s="23"/>
      <c r="K126" s="28"/>
      <c r="L126" s="23"/>
      <c r="M126" s="23"/>
      <c r="N126" s="25" t="str">
        <f aca="false">IF(A126="","",IF(LEFT(A126,3)="Pre",0,IFERROR(VALUE(MID(A126,5,FIND(" ",A126&amp;" ",5)-5)),"")))</f>
        <v/>
      </c>
      <c r="O126" s="57" t="str">
        <f aca="false">IF(N126="","",IF(N126=0,"Before trip",IF(TripStart="","",TripStart+N126-1)))</f>
        <v/>
      </c>
      <c r="P126" s="58" t="str">
        <f aca="false">IF(AND(D126="",I126=""),"",IF(OR(E126="",E126=HomeCcy),1,IFERROR(INDEX(Setup!$J$26:$J$33,MATCH(E126,Setup!$G$26:$G$33,0)),IFERROR(INDEX(Settings!$S$5:$S$64,MATCH(E126,Settings!$R$5:$R$64,0))/HomeINR,1))))</f>
        <v/>
      </c>
      <c r="Q126" s="34" t="str">
        <f aca="false">IF(D126="","",D126*P126)</f>
        <v/>
      </c>
      <c r="R126" s="34" t="str">
        <f aca="false">IF(I126="","",I126*P126)</f>
        <v/>
      </c>
      <c r="S126" s="33" t="n">
        <f aca="false">IF(H126="Cancelled",0,IF(R126&lt;&gt;"",R126,IF(Q126&lt;&gt;"",Q126,0)))</f>
        <v>0</v>
      </c>
      <c r="T126" s="45" t="str">
        <f aca="false">IF(S126=0,"",IF(SUM(AE126:AN126)=0,"⚠ nobody picked",COUNTIF(AE126:AN126,"&gt;0")&amp;" people"))</f>
        <v/>
      </c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60" t="n">
        <f aca="false">IF(OR($S126=0,Setup!$B$18=""),0,IF(OR($G126="",$G126="Everyone"),1,IF($G126="Custom",N(U126),IF(OR($G126=Setup!$B$18,AND(Setup!$C$18&lt;&gt;"",$G126=Setup!$C$18)),1,0))))</f>
        <v>0</v>
      </c>
      <c r="AF126" s="60" t="n">
        <f aca="false">IF(OR($S126=0,Setup!$B$19=""),0,IF(OR($G126="",$G126="Everyone"),1,IF($G126="Custom",N(V126),IF(OR($G126=Setup!$B$19,AND(Setup!$C$19&lt;&gt;"",$G126=Setup!$C$19)),1,0))))</f>
        <v>0</v>
      </c>
      <c r="AG126" s="60" t="n">
        <f aca="false">IF(OR($S126=0,Setup!$B$20=""),0,IF(OR($G126="",$G126="Everyone"),1,IF($G126="Custom",N(W126),IF(OR($G126=Setup!$B$20,AND(Setup!$C$20&lt;&gt;"",$G126=Setup!$C$20)),1,0))))</f>
        <v>0</v>
      </c>
      <c r="AH126" s="60" t="n">
        <f aca="false">IF(OR($S126=0,Setup!$B$21=""),0,IF(OR($G126="",$G126="Everyone"),1,IF($G126="Custom",N(X126),IF(OR($G126=Setup!$B$21,AND(Setup!$C$21&lt;&gt;"",$G126=Setup!$C$21)),1,0))))</f>
        <v>0</v>
      </c>
      <c r="AI126" s="60" t="n">
        <f aca="false">IF(OR($S126=0,Setup!$B$22=""),0,IF(OR($G126="",$G126="Everyone"),1,IF($G126="Custom",N(Y126),IF(OR($G126=Setup!$B$22,AND(Setup!$C$22&lt;&gt;"",$G126=Setup!$C$22)),1,0))))</f>
        <v>0</v>
      </c>
      <c r="AJ126" s="60" t="n">
        <f aca="false">IF(OR($S126=0,Setup!$B$23=""),0,IF(OR($G126="",$G126="Everyone"),1,IF($G126="Custom",N(Z126),IF(OR($G126=Setup!$B$23,AND(Setup!$C$23&lt;&gt;"",$G126=Setup!$C$23)),1,0))))</f>
        <v>0</v>
      </c>
      <c r="AK126" s="60" t="n">
        <f aca="false">IF(OR($S126=0,Setup!$B$24=""),0,IF(OR($G126="",$G126="Everyone"),1,IF($G126="Custom",N(AA126),IF(OR($G126=Setup!$B$24,AND(Setup!$C$24&lt;&gt;"",$G126=Setup!$C$24)),1,0))))</f>
        <v>0</v>
      </c>
      <c r="AL126" s="60" t="n">
        <f aca="false">IF(OR($S126=0,Setup!$B$25=""),0,IF(OR($G126="",$G126="Everyone"),1,IF($G126="Custom",N(AB126),IF(OR($G126=Setup!$B$25,AND(Setup!$C$25&lt;&gt;"",$G126=Setup!$C$25)),1,0))))</f>
        <v>0</v>
      </c>
      <c r="AM126" s="60" t="n">
        <f aca="false">IF(OR($S126=0,Setup!$B$26=""),0,IF(OR($G126="",$G126="Everyone"),1,IF($G126="Custom",N(AC126),IF(OR($G126=Setup!$B$26,AND(Setup!$C$26&lt;&gt;"",$G126=Setup!$C$26)),1,0))))</f>
        <v>0</v>
      </c>
      <c r="AN126" s="60" t="n">
        <f aca="false">IF(OR($S126=0,Setup!$B$27=""),0,IF(OR($G126="",$G126="Everyone"),1,IF($G126="Custom",N(AD126),IF(OR($G126=Setup!$B$27,AND(Setup!$C$27&lt;&gt;"",$G126=Setup!$C$27)),1,0))))</f>
        <v>0</v>
      </c>
      <c r="AO126" s="60" t="n">
        <f aca="false">IF(SUM(AE126:AN126)=0,1,SUM(AE126:AN126))</f>
        <v>1</v>
      </c>
      <c r="AP126" s="60" t="n">
        <f aca="false">IF(H126="Paid",1,0)</f>
        <v>0</v>
      </c>
      <c r="AQ126" s="60" t="n">
        <f aca="false">IF(AND(S126&gt;0,SUM(AE126:AN126)=0),S126,0)</f>
        <v>0</v>
      </c>
      <c r="AR126" s="60" t="str">
        <f aca="false">IF(AND(N126&lt;&gt;"",TodayDay&lt;&gt;"",N126=TodayDay),COUNTIF($N$6:N126,TodayDay),"")</f>
        <v/>
      </c>
      <c r="AS126" s="60" t="n">
        <f aca="false">IF(B126="",0,IF(COUNTIFS(Settings!$A$5:$A$29,B126,Settings!$B$5:$B$29,"Yes")&gt;0,1,0))</f>
        <v>0</v>
      </c>
      <c r="AT126" s="61" t="n">
        <f aca="false">IF(OR(N126="",TodayDay=""),IF(N126="",S126,0),IF(N126&lt;TodayDay,S126,0))</f>
        <v>0</v>
      </c>
    </row>
    <row r="127" customFormat="false" ht="15" hidden="false" customHeight="false" outlineLevel="0" collapsed="false">
      <c r="A127" s="23"/>
      <c r="B127" s="23"/>
      <c r="C127" s="23"/>
      <c r="D127" s="56"/>
      <c r="E127" s="23"/>
      <c r="F127" s="23"/>
      <c r="G127" s="23"/>
      <c r="H127" s="23"/>
      <c r="I127" s="56"/>
      <c r="J127" s="23"/>
      <c r="K127" s="28"/>
      <c r="L127" s="23"/>
      <c r="M127" s="23"/>
      <c r="N127" s="25" t="str">
        <f aca="false">IF(A127="","",IF(LEFT(A127,3)="Pre",0,IFERROR(VALUE(MID(A127,5,FIND(" ",A127&amp;" ",5)-5)),"")))</f>
        <v/>
      </c>
      <c r="O127" s="57" t="str">
        <f aca="false">IF(N127="","",IF(N127=0,"Before trip",IF(TripStart="","",TripStart+N127-1)))</f>
        <v/>
      </c>
      <c r="P127" s="58" t="str">
        <f aca="false">IF(AND(D127="",I127=""),"",IF(OR(E127="",E127=HomeCcy),1,IFERROR(INDEX(Setup!$J$26:$J$33,MATCH(E127,Setup!$G$26:$G$33,0)),IFERROR(INDEX(Settings!$S$5:$S$64,MATCH(E127,Settings!$R$5:$R$64,0))/HomeINR,1))))</f>
        <v/>
      </c>
      <c r="Q127" s="34" t="str">
        <f aca="false">IF(D127="","",D127*P127)</f>
        <v/>
      </c>
      <c r="R127" s="34" t="str">
        <f aca="false">IF(I127="","",I127*P127)</f>
        <v/>
      </c>
      <c r="S127" s="33" t="n">
        <f aca="false">IF(H127="Cancelled",0,IF(R127&lt;&gt;"",R127,IF(Q127&lt;&gt;"",Q127,0)))</f>
        <v>0</v>
      </c>
      <c r="T127" s="45" t="str">
        <f aca="false">IF(S127=0,"",IF(SUM(AE127:AN127)=0,"⚠ nobody picked",COUNTIF(AE127:AN127,"&gt;0")&amp;" people"))</f>
        <v/>
      </c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60" t="n">
        <f aca="false">IF(OR($S127=0,Setup!$B$18=""),0,IF(OR($G127="",$G127="Everyone"),1,IF($G127="Custom",N(U127),IF(OR($G127=Setup!$B$18,AND(Setup!$C$18&lt;&gt;"",$G127=Setup!$C$18)),1,0))))</f>
        <v>0</v>
      </c>
      <c r="AF127" s="60" t="n">
        <f aca="false">IF(OR($S127=0,Setup!$B$19=""),0,IF(OR($G127="",$G127="Everyone"),1,IF($G127="Custom",N(V127),IF(OR($G127=Setup!$B$19,AND(Setup!$C$19&lt;&gt;"",$G127=Setup!$C$19)),1,0))))</f>
        <v>0</v>
      </c>
      <c r="AG127" s="60" t="n">
        <f aca="false">IF(OR($S127=0,Setup!$B$20=""),0,IF(OR($G127="",$G127="Everyone"),1,IF($G127="Custom",N(W127),IF(OR($G127=Setup!$B$20,AND(Setup!$C$20&lt;&gt;"",$G127=Setup!$C$20)),1,0))))</f>
        <v>0</v>
      </c>
      <c r="AH127" s="60" t="n">
        <f aca="false">IF(OR($S127=0,Setup!$B$21=""),0,IF(OR($G127="",$G127="Everyone"),1,IF($G127="Custom",N(X127),IF(OR($G127=Setup!$B$21,AND(Setup!$C$21&lt;&gt;"",$G127=Setup!$C$21)),1,0))))</f>
        <v>0</v>
      </c>
      <c r="AI127" s="60" t="n">
        <f aca="false">IF(OR($S127=0,Setup!$B$22=""),0,IF(OR($G127="",$G127="Everyone"),1,IF($G127="Custom",N(Y127),IF(OR($G127=Setup!$B$22,AND(Setup!$C$22&lt;&gt;"",$G127=Setup!$C$22)),1,0))))</f>
        <v>0</v>
      </c>
      <c r="AJ127" s="60" t="n">
        <f aca="false">IF(OR($S127=0,Setup!$B$23=""),0,IF(OR($G127="",$G127="Everyone"),1,IF($G127="Custom",N(Z127),IF(OR($G127=Setup!$B$23,AND(Setup!$C$23&lt;&gt;"",$G127=Setup!$C$23)),1,0))))</f>
        <v>0</v>
      </c>
      <c r="AK127" s="60" t="n">
        <f aca="false">IF(OR($S127=0,Setup!$B$24=""),0,IF(OR($G127="",$G127="Everyone"),1,IF($G127="Custom",N(AA127),IF(OR($G127=Setup!$B$24,AND(Setup!$C$24&lt;&gt;"",$G127=Setup!$C$24)),1,0))))</f>
        <v>0</v>
      </c>
      <c r="AL127" s="60" t="n">
        <f aca="false">IF(OR($S127=0,Setup!$B$25=""),0,IF(OR($G127="",$G127="Everyone"),1,IF($G127="Custom",N(AB127),IF(OR($G127=Setup!$B$25,AND(Setup!$C$25&lt;&gt;"",$G127=Setup!$C$25)),1,0))))</f>
        <v>0</v>
      </c>
      <c r="AM127" s="60" t="n">
        <f aca="false">IF(OR($S127=0,Setup!$B$26=""),0,IF(OR($G127="",$G127="Everyone"),1,IF($G127="Custom",N(AC127),IF(OR($G127=Setup!$B$26,AND(Setup!$C$26&lt;&gt;"",$G127=Setup!$C$26)),1,0))))</f>
        <v>0</v>
      </c>
      <c r="AN127" s="60" t="n">
        <f aca="false">IF(OR($S127=0,Setup!$B$27=""),0,IF(OR($G127="",$G127="Everyone"),1,IF($G127="Custom",N(AD127),IF(OR($G127=Setup!$B$27,AND(Setup!$C$27&lt;&gt;"",$G127=Setup!$C$27)),1,0))))</f>
        <v>0</v>
      </c>
      <c r="AO127" s="60" t="n">
        <f aca="false">IF(SUM(AE127:AN127)=0,1,SUM(AE127:AN127))</f>
        <v>1</v>
      </c>
      <c r="AP127" s="60" t="n">
        <f aca="false">IF(H127="Paid",1,0)</f>
        <v>0</v>
      </c>
      <c r="AQ127" s="60" t="n">
        <f aca="false">IF(AND(S127&gt;0,SUM(AE127:AN127)=0),S127,0)</f>
        <v>0</v>
      </c>
      <c r="AR127" s="60" t="str">
        <f aca="false">IF(AND(N127&lt;&gt;"",TodayDay&lt;&gt;"",N127=TodayDay),COUNTIF($N$6:N127,TodayDay),"")</f>
        <v/>
      </c>
      <c r="AS127" s="60" t="n">
        <f aca="false">IF(B127="",0,IF(COUNTIFS(Settings!$A$5:$A$29,B127,Settings!$B$5:$B$29,"Yes")&gt;0,1,0))</f>
        <v>0</v>
      </c>
      <c r="AT127" s="61" t="n">
        <f aca="false">IF(OR(N127="",TodayDay=""),IF(N127="",S127,0),IF(N127&lt;TodayDay,S127,0))</f>
        <v>0</v>
      </c>
    </row>
    <row r="128" customFormat="false" ht="15" hidden="false" customHeight="false" outlineLevel="0" collapsed="false">
      <c r="A128" s="23"/>
      <c r="B128" s="23"/>
      <c r="C128" s="23"/>
      <c r="D128" s="56"/>
      <c r="E128" s="23"/>
      <c r="F128" s="23"/>
      <c r="G128" s="23"/>
      <c r="H128" s="23"/>
      <c r="I128" s="56"/>
      <c r="J128" s="23"/>
      <c r="K128" s="28"/>
      <c r="L128" s="23"/>
      <c r="M128" s="23"/>
      <c r="N128" s="25" t="str">
        <f aca="false">IF(A128="","",IF(LEFT(A128,3)="Pre",0,IFERROR(VALUE(MID(A128,5,FIND(" ",A128&amp;" ",5)-5)),"")))</f>
        <v/>
      </c>
      <c r="O128" s="57" t="str">
        <f aca="false">IF(N128="","",IF(N128=0,"Before trip",IF(TripStart="","",TripStart+N128-1)))</f>
        <v/>
      </c>
      <c r="P128" s="58" t="str">
        <f aca="false">IF(AND(D128="",I128=""),"",IF(OR(E128="",E128=HomeCcy),1,IFERROR(INDEX(Setup!$J$26:$J$33,MATCH(E128,Setup!$G$26:$G$33,0)),IFERROR(INDEX(Settings!$S$5:$S$64,MATCH(E128,Settings!$R$5:$R$64,0))/HomeINR,1))))</f>
        <v/>
      </c>
      <c r="Q128" s="34" t="str">
        <f aca="false">IF(D128="","",D128*P128)</f>
        <v/>
      </c>
      <c r="R128" s="34" t="str">
        <f aca="false">IF(I128="","",I128*P128)</f>
        <v/>
      </c>
      <c r="S128" s="33" t="n">
        <f aca="false">IF(H128="Cancelled",0,IF(R128&lt;&gt;"",R128,IF(Q128&lt;&gt;"",Q128,0)))</f>
        <v>0</v>
      </c>
      <c r="T128" s="45" t="str">
        <f aca="false">IF(S128=0,"",IF(SUM(AE128:AN128)=0,"⚠ nobody picked",COUNTIF(AE128:AN128,"&gt;0")&amp;" people"))</f>
        <v/>
      </c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60" t="n">
        <f aca="false">IF(OR($S128=0,Setup!$B$18=""),0,IF(OR($G128="",$G128="Everyone"),1,IF($G128="Custom",N(U128),IF(OR($G128=Setup!$B$18,AND(Setup!$C$18&lt;&gt;"",$G128=Setup!$C$18)),1,0))))</f>
        <v>0</v>
      </c>
      <c r="AF128" s="60" t="n">
        <f aca="false">IF(OR($S128=0,Setup!$B$19=""),0,IF(OR($G128="",$G128="Everyone"),1,IF($G128="Custom",N(V128),IF(OR($G128=Setup!$B$19,AND(Setup!$C$19&lt;&gt;"",$G128=Setup!$C$19)),1,0))))</f>
        <v>0</v>
      </c>
      <c r="AG128" s="60" t="n">
        <f aca="false">IF(OR($S128=0,Setup!$B$20=""),0,IF(OR($G128="",$G128="Everyone"),1,IF($G128="Custom",N(W128),IF(OR($G128=Setup!$B$20,AND(Setup!$C$20&lt;&gt;"",$G128=Setup!$C$20)),1,0))))</f>
        <v>0</v>
      </c>
      <c r="AH128" s="60" t="n">
        <f aca="false">IF(OR($S128=0,Setup!$B$21=""),0,IF(OR($G128="",$G128="Everyone"),1,IF($G128="Custom",N(X128),IF(OR($G128=Setup!$B$21,AND(Setup!$C$21&lt;&gt;"",$G128=Setup!$C$21)),1,0))))</f>
        <v>0</v>
      </c>
      <c r="AI128" s="60" t="n">
        <f aca="false">IF(OR($S128=0,Setup!$B$22=""),0,IF(OR($G128="",$G128="Everyone"),1,IF($G128="Custom",N(Y128),IF(OR($G128=Setup!$B$22,AND(Setup!$C$22&lt;&gt;"",$G128=Setup!$C$22)),1,0))))</f>
        <v>0</v>
      </c>
      <c r="AJ128" s="60" t="n">
        <f aca="false">IF(OR($S128=0,Setup!$B$23=""),0,IF(OR($G128="",$G128="Everyone"),1,IF($G128="Custom",N(Z128),IF(OR($G128=Setup!$B$23,AND(Setup!$C$23&lt;&gt;"",$G128=Setup!$C$23)),1,0))))</f>
        <v>0</v>
      </c>
      <c r="AK128" s="60" t="n">
        <f aca="false">IF(OR($S128=0,Setup!$B$24=""),0,IF(OR($G128="",$G128="Everyone"),1,IF($G128="Custom",N(AA128),IF(OR($G128=Setup!$B$24,AND(Setup!$C$24&lt;&gt;"",$G128=Setup!$C$24)),1,0))))</f>
        <v>0</v>
      </c>
      <c r="AL128" s="60" t="n">
        <f aca="false">IF(OR($S128=0,Setup!$B$25=""),0,IF(OR($G128="",$G128="Everyone"),1,IF($G128="Custom",N(AB128),IF(OR($G128=Setup!$B$25,AND(Setup!$C$25&lt;&gt;"",$G128=Setup!$C$25)),1,0))))</f>
        <v>0</v>
      </c>
      <c r="AM128" s="60" t="n">
        <f aca="false">IF(OR($S128=0,Setup!$B$26=""),0,IF(OR($G128="",$G128="Everyone"),1,IF($G128="Custom",N(AC128),IF(OR($G128=Setup!$B$26,AND(Setup!$C$26&lt;&gt;"",$G128=Setup!$C$26)),1,0))))</f>
        <v>0</v>
      </c>
      <c r="AN128" s="60" t="n">
        <f aca="false">IF(OR($S128=0,Setup!$B$27=""),0,IF(OR($G128="",$G128="Everyone"),1,IF($G128="Custom",N(AD128),IF(OR($G128=Setup!$B$27,AND(Setup!$C$27&lt;&gt;"",$G128=Setup!$C$27)),1,0))))</f>
        <v>0</v>
      </c>
      <c r="AO128" s="60" t="n">
        <f aca="false">IF(SUM(AE128:AN128)=0,1,SUM(AE128:AN128))</f>
        <v>1</v>
      </c>
      <c r="AP128" s="60" t="n">
        <f aca="false">IF(H128="Paid",1,0)</f>
        <v>0</v>
      </c>
      <c r="AQ128" s="60" t="n">
        <f aca="false">IF(AND(S128&gt;0,SUM(AE128:AN128)=0),S128,0)</f>
        <v>0</v>
      </c>
      <c r="AR128" s="60" t="str">
        <f aca="false">IF(AND(N128&lt;&gt;"",TodayDay&lt;&gt;"",N128=TodayDay),COUNTIF($N$6:N128,TodayDay),"")</f>
        <v/>
      </c>
      <c r="AS128" s="60" t="n">
        <f aca="false">IF(B128="",0,IF(COUNTIFS(Settings!$A$5:$A$29,B128,Settings!$B$5:$B$29,"Yes")&gt;0,1,0))</f>
        <v>0</v>
      </c>
      <c r="AT128" s="61" t="n">
        <f aca="false">IF(OR(N128="",TodayDay=""),IF(N128="",S128,0),IF(N128&lt;TodayDay,S128,0))</f>
        <v>0</v>
      </c>
    </row>
    <row r="129" customFormat="false" ht="15" hidden="false" customHeight="false" outlineLevel="0" collapsed="false">
      <c r="A129" s="23"/>
      <c r="B129" s="23"/>
      <c r="C129" s="23"/>
      <c r="D129" s="56"/>
      <c r="E129" s="23"/>
      <c r="F129" s="23"/>
      <c r="G129" s="23"/>
      <c r="H129" s="23"/>
      <c r="I129" s="56"/>
      <c r="J129" s="23"/>
      <c r="K129" s="28"/>
      <c r="L129" s="23"/>
      <c r="M129" s="23"/>
      <c r="N129" s="25" t="str">
        <f aca="false">IF(A129="","",IF(LEFT(A129,3)="Pre",0,IFERROR(VALUE(MID(A129,5,FIND(" ",A129&amp;" ",5)-5)),"")))</f>
        <v/>
      </c>
      <c r="O129" s="57" t="str">
        <f aca="false">IF(N129="","",IF(N129=0,"Before trip",IF(TripStart="","",TripStart+N129-1)))</f>
        <v/>
      </c>
      <c r="P129" s="58" t="str">
        <f aca="false">IF(AND(D129="",I129=""),"",IF(OR(E129="",E129=HomeCcy),1,IFERROR(INDEX(Setup!$J$26:$J$33,MATCH(E129,Setup!$G$26:$G$33,0)),IFERROR(INDEX(Settings!$S$5:$S$64,MATCH(E129,Settings!$R$5:$R$64,0))/HomeINR,1))))</f>
        <v/>
      </c>
      <c r="Q129" s="34" t="str">
        <f aca="false">IF(D129="","",D129*P129)</f>
        <v/>
      </c>
      <c r="R129" s="34" t="str">
        <f aca="false">IF(I129="","",I129*P129)</f>
        <v/>
      </c>
      <c r="S129" s="33" t="n">
        <f aca="false">IF(H129="Cancelled",0,IF(R129&lt;&gt;"",R129,IF(Q129&lt;&gt;"",Q129,0)))</f>
        <v>0</v>
      </c>
      <c r="T129" s="45" t="str">
        <f aca="false">IF(S129=0,"",IF(SUM(AE129:AN129)=0,"⚠ nobody picked",COUNTIF(AE129:AN129,"&gt;0")&amp;" people"))</f>
        <v/>
      </c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60" t="n">
        <f aca="false">IF(OR($S129=0,Setup!$B$18=""),0,IF(OR($G129="",$G129="Everyone"),1,IF($G129="Custom",N(U129),IF(OR($G129=Setup!$B$18,AND(Setup!$C$18&lt;&gt;"",$G129=Setup!$C$18)),1,0))))</f>
        <v>0</v>
      </c>
      <c r="AF129" s="60" t="n">
        <f aca="false">IF(OR($S129=0,Setup!$B$19=""),0,IF(OR($G129="",$G129="Everyone"),1,IF($G129="Custom",N(V129),IF(OR($G129=Setup!$B$19,AND(Setup!$C$19&lt;&gt;"",$G129=Setup!$C$19)),1,0))))</f>
        <v>0</v>
      </c>
      <c r="AG129" s="60" t="n">
        <f aca="false">IF(OR($S129=0,Setup!$B$20=""),0,IF(OR($G129="",$G129="Everyone"),1,IF($G129="Custom",N(W129),IF(OR($G129=Setup!$B$20,AND(Setup!$C$20&lt;&gt;"",$G129=Setup!$C$20)),1,0))))</f>
        <v>0</v>
      </c>
      <c r="AH129" s="60" t="n">
        <f aca="false">IF(OR($S129=0,Setup!$B$21=""),0,IF(OR($G129="",$G129="Everyone"),1,IF($G129="Custom",N(X129),IF(OR($G129=Setup!$B$21,AND(Setup!$C$21&lt;&gt;"",$G129=Setup!$C$21)),1,0))))</f>
        <v>0</v>
      </c>
      <c r="AI129" s="60" t="n">
        <f aca="false">IF(OR($S129=0,Setup!$B$22=""),0,IF(OR($G129="",$G129="Everyone"),1,IF($G129="Custom",N(Y129),IF(OR($G129=Setup!$B$22,AND(Setup!$C$22&lt;&gt;"",$G129=Setup!$C$22)),1,0))))</f>
        <v>0</v>
      </c>
      <c r="AJ129" s="60" t="n">
        <f aca="false">IF(OR($S129=0,Setup!$B$23=""),0,IF(OR($G129="",$G129="Everyone"),1,IF($G129="Custom",N(Z129),IF(OR($G129=Setup!$B$23,AND(Setup!$C$23&lt;&gt;"",$G129=Setup!$C$23)),1,0))))</f>
        <v>0</v>
      </c>
      <c r="AK129" s="60" t="n">
        <f aca="false">IF(OR($S129=0,Setup!$B$24=""),0,IF(OR($G129="",$G129="Everyone"),1,IF($G129="Custom",N(AA129),IF(OR($G129=Setup!$B$24,AND(Setup!$C$24&lt;&gt;"",$G129=Setup!$C$24)),1,0))))</f>
        <v>0</v>
      </c>
      <c r="AL129" s="60" t="n">
        <f aca="false">IF(OR($S129=0,Setup!$B$25=""),0,IF(OR($G129="",$G129="Everyone"),1,IF($G129="Custom",N(AB129),IF(OR($G129=Setup!$B$25,AND(Setup!$C$25&lt;&gt;"",$G129=Setup!$C$25)),1,0))))</f>
        <v>0</v>
      </c>
      <c r="AM129" s="60" t="n">
        <f aca="false">IF(OR($S129=0,Setup!$B$26=""),0,IF(OR($G129="",$G129="Everyone"),1,IF($G129="Custom",N(AC129),IF(OR($G129=Setup!$B$26,AND(Setup!$C$26&lt;&gt;"",$G129=Setup!$C$26)),1,0))))</f>
        <v>0</v>
      </c>
      <c r="AN129" s="60" t="n">
        <f aca="false">IF(OR($S129=0,Setup!$B$27=""),0,IF(OR($G129="",$G129="Everyone"),1,IF($G129="Custom",N(AD129),IF(OR($G129=Setup!$B$27,AND(Setup!$C$27&lt;&gt;"",$G129=Setup!$C$27)),1,0))))</f>
        <v>0</v>
      </c>
      <c r="AO129" s="60" t="n">
        <f aca="false">IF(SUM(AE129:AN129)=0,1,SUM(AE129:AN129))</f>
        <v>1</v>
      </c>
      <c r="AP129" s="60" t="n">
        <f aca="false">IF(H129="Paid",1,0)</f>
        <v>0</v>
      </c>
      <c r="AQ129" s="60" t="n">
        <f aca="false">IF(AND(S129&gt;0,SUM(AE129:AN129)=0),S129,0)</f>
        <v>0</v>
      </c>
      <c r="AR129" s="60" t="str">
        <f aca="false">IF(AND(N129&lt;&gt;"",TodayDay&lt;&gt;"",N129=TodayDay),COUNTIF($N$6:N129,TodayDay),"")</f>
        <v/>
      </c>
      <c r="AS129" s="60" t="n">
        <f aca="false">IF(B129="",0,IF(COUNTIFS(Settings!$A$5:$A$29,B129,Settings!$B$5:$B$29,"Yes")&gt;0,1,0))</f>
        <v>0</v>
      </c>
      <c r="AT129" s="61" t="n">
        <f aca="false">IF(OR(N129="",TodayDay=""),IF(N129="",S129,0),IF(N129&lt;TodayDay,S129,0))</f>
        <v>0</v>
      </c>
    </row>
    <row r="130" customFormat="false" ht="15" hidden="false" customHeight="false" outlineLevel="0" collapsed="false">
      <c r="A130" s="23"/>
      <c r="B130" s="23"/>
      <c r="C130" s="23"/>
      <c r="D130" s="56"/>
      <c r="E130" s="23"/>
      <c r="F130" s="23"/>
      <c r="G130" s="23"/>
      <c r="H130" s="23"/>
      <c r="I130" s="56"/>
      <c r="J130" s="23"/>
      <c r="K130" s="28"/>
      <c r="L130" s="23"/>
      <c r="M130" s="23"/>
      <c r="N130" s="25" t="str">
        <f aca="false">IF(A130="","",IF(LEFT(A130,3)="Pre",0,IFERROR(VALUE(MID(A130,5,FIND(" ",A130&amp;" ",5)-5)),"")))</f>
        <v/>
      </c>
      <c r="O130" s="57" t="str">
        <f aca="false">IF(N130="","",IF(N130=0,"Before trip",IF(TripStart="","",TripStart+N130-1)))</f>
        <v/>
      </c>
      <c r="P130" s="58" t="str">
        <f aca="false">IF(AND(D130="",I130=""),"",IF(OR(E130="",E130=HomeCcy),1,IFERROR(INDEX(Setup!$J$26:$J$33,MATCH(E130,Setup!$G$26:$G$33,0)),IFERROR(INDEX(Settings!$S$5:$S$64,MATCH(E130,Settings!$R$5:$R$64,0))/HomeINR,1))))</f>
        <v/>
      </c>
      <c r="Q130" s="34" t="str">
        <f aca="false">IF(D130="","",D130*P130)</f>
        <v/>
      </c>
      <c r="R130" s="34" t="str">
        <f aca="false">IF(I130="","",I130*P130)</f>
        <v/>
      </c>
      <c r="S130" s="33" t="n">
        <f aca="false">IF(H130="Cancelled",0,IF(R130&lt;&gt;"",R130,IF(Q130&lt;&gt;"",Q130,0)))</f>
        <v>0</v>
      </c>
      <c r="T130" s="45" t="str">
        <f aca="false">IF(S130=0,"",IF(SUM(AE130:AN130)=0,"⚠ nobody picked",COUNTIF(AE130:AN130,"&gt;0")&amp;" people"))</f>
        <v/>
      </c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60" t="n">
        <f aca="false">IF(OR($S130=0,Setup!$B$18=""),0,IF(OR($G130="",$G130="Everyone"),1,IF($G130="Custom",N(U130),IF(OR($G130=Setup!$B$18,AND(Setup!$C$18&lt;&gt;"",$G130=Setup!$C$18)),1,0))))</f>
        <v>0</v>
      </c>
      <c r="AF130" s="60" t="n">
        <f aca="false">IF(OR($S130=0,Setup!$B$19=""),0,IF(OR($G130="",$G130="Everyone"),1,IF($G130="Custom",N(V130),IF(OR($G130=Setup!$B$19,AND(Setup!$C$19&lt;&gt;"",$G130=Setup!$C$19)),1,0))))</f>
        <v>0</v>
      </c>
      <c r="AG130" s="60" t="n">
        <f aca="false">IF(OR($S130=0,Setup!$B$20=""),0,IF(OR($G130="",$G130="Everyone"),1,IF($G130="Custom",N(W130),IF(OR($G130=Setup!$B$20,AND(Setup!$C$20&lt;&gt;"",$G130=Setup!$C$20)),1,0))))</f>
        <v>0</v>
      </c>
      <c r="AH130" s="60" t="n">
        <f aca="false">IF(OR($S130=0,Setup!$B$21=""),0,IF(OR($G130="",$G130="Everyone"),1,IF($G130="Custom",N(X130),IF(OR($G130=Setup!$B$21,AND(Setup!$C$21&lt;&gt;"",$G130=Setup!$C$21)),1,0))))</f>
        <v>0</v>
      </c>
      <c r="AI130" s="60" t="n">
        <f aca="false">IF(OR($S130=0,Setup!$B$22=""),0,IF(OR($G130="",$G130="Everyone"),1,IF($G130="Custom",N(Y130),IF(OR($G130=Setup!$B$22,AND(Setup!$C$22&lt;&gt;"",$G130=Setup!$C$22)),1,0))))</f>
        <v>0</v>
      </c>
      <c r="AJ130" s="60" t="n">
        <f aca="false">IF(OR($S130=0,Setup!$B$23=""),0,IF(OR($G130="",$G130="Everyone"),1,IF($G130="Custom",N(Z130),IF(OR($G130=Setup!$B$23,AND(Setup!$C$23&lt;&gt;"",$G130=Setup!$C$23)),1,0))))</f>
        <v>0</v>
      </c>
      <c r="AK130" s="60" t="n">
        <f aca="false">IF(OR($S130=0,Setup!$B$24=""),0,IF(OR($G130="",$G130="Everyone"),1,IF($G130="Custom",N(AA130),IF(OR($G130=Setup!$B$24,AND(Setup!$C$24&lt;&gt;"",$G130=Setup!$C$24)),1,0))))</f>
        <v>0</v>
      </c>
      <c r="AL130" s="60" t="n">
        <f aca="false">IF(OR($S130=0,Setup!$B$25=""),0,IF(OR($G130="",$G130="Everyone"),1,IF($G130="Custom",N(AB130),IF(OR($G130=Setup!$B$25,AND(Setup!$C$25&lt;&gt;"",$G130=Setup!$C$25)),1,0))))</f>
        <v>0</v>
      </c>
      <c r="AM130" s="60" t="n">
        <f aca="false">IF(OR($S130=0,Setup!$B$26=""),0,IF(OR($G130="",$G130="Everyone"),1,IF($G130="Custom",N(AC130),IF(OR($G130=Setup!$B$26,AND(Setup!$C$26&lt;&gt;"",$G130=Setup!$C$26)),1,0))))</f>
        <v>0</v>
      </c>
      <c r="AN130" s="60" t="n">
        <f aca="false">IF(OR($S130=0,Setup!$B$27=""),0,IF(OR($G130="",$G130="Everyone"),1,IF($G130="Custom",N(AD130),IF(OR($G130=Setup!$B$27,AND(Setup!$C$27&lt;&gt;"",$G130=Setup!$C$27)),1,0))))</f>
        <v>0</v>
      </c>
      <c r="AO130" s="60" t="n">
        <f aca="false">IF(SUM(AE130:AN130)=0,1,SUM(AE130:AN130))</f>
        <v>1</v>
      </c>
      <c r="AP130" s="60" t="n">
        <f aca="false">IF(H130="Paid",1,0)</f>
        <v>0</v>
      </c>
      <c r="AQ130" s="60" t="n">
        <f aca="false">IF(AND(S130&gt;0,SUM(AE130:AN130)=0),S130,0)</f>
        <v>0</v>
      </c>
      <c r="AR130" s="60" t="str">
        <f aca="false">IF(AND(N130&lt;&gt;"",TodayDay&lt;&gt;"",N130=TodayDay),COUNTIF($N$6:N130,TodayDay),"")</f>
        <v/>
      </c>
      <c r="AS130" s="60" t="n">
        <f aca="false">IF(B130="",0,IF(COUNTIFS(Settings!$A$5:$A$29,B130,Settings!$B$5:$B$29,"Yes")&gt;0,1,0))</f>
        <v>0</v>
      </c>
      <c r="AT130" s="61" t="n">
        <f aca="false">IF(OR(N130="",TodayDay=""),IF(N130="",S130,0),IF(N130&lt;TodayDay,S130,0))</f>
        <v>0</v>
      </c>
    </row>
    <row r="131" customFormat="false" ht="15" hidden="false" customHeight="false" outlineLevel="0" collapsed="false">
      <c r="A131" s="23"/>
      <c r="B131" s="23"/>
      <c r="C131" s="23"/>
      <c r="D131" s="56"/>
      <c r="E131" s="23"/>
      <c r="F131" s="23"/>
      <c r="G131" s="23"/>
      <c r="H131" s="23"/>
      <c r="I131" s="56"/>
      <c r="J131" s="23"/>
      <c r="K131" s="28"/>
      <c r="L131" s="23"/>
      <c r="M131" s="23"/>
      <c r="N131" s="25" t="str">
        <f aca="false">IF(A131="","",IF(LEFT(A131,3)="Pre",0,IFERROR(VALUE(MID(A131,5,FIND(" ",A131&amp;" ",5)-5)),"")))</f>
        <v/>
      </c>
      <c r="O131" s="57" t="str">
        <f aca="false">IF(N131="","",IF(N131=0,"Before trip",IF(TripStart="","",TripStart+N131-1)))</f>
        <v/>
      </c>
      <c r="P131" s="58" t="str">
        <f aca="false">IF(AND(D131="",I131=""),"",IF(OR(E131="",E131=HomeCcy),1,IFERROR(INDEX(Setup!$J$26:$J$33,MATCH(E131,Setup!$G$26:$G$33,0)),IFERROR(INDEX(Settings!$S$5:$S$64,MATCH(E131,Settings!$R$5:$R$64,0))/HomeINR,1))))</f>
        <v/>
      </c>
      <c r="Q131" s="34" t="str">
        <f aca="false">IF(D131="","",D131*P131)</f>
        <v/>
      </c>
      <c r="R131" s="34" t="str">
        <f aca="false">IF(I131="","",I131*P131)</f>
        <v/>
      </c>
      <c r="S131" s="33" t="n">
        <f aca="false">IF(H131="Cancelled",0,IF(R131&lt;&gt;"",R131,IF(Q131&lt;&gt;"",Q131,0)))</f>
        <v>0</v>
      </c>
      <c r="T131" s="45" t="str">
        <f aca="false">IF(S131=0,"",IF(SUM(AE131:AN131)=0,"⚠ nobody picked",COUNTIF(AE131:AN131,"&gt;0")&amp;" people"))</f>
        <v/>
      </c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60" t="n">
        <f aca="false">IF(OR($S131=0,Setup!$B$18=""),0,IF(OR($G131="",$G131="Everyone"),1,IF($G131="Custom",N(U131),IF(OR($G131=Setup!$B$18,AND(Setup!$C$18&lt;&gt;"",$G131=Setup!$C$18)),1,0))))</f>
        <v>0</v>
      </c>
      <c r="AF131" s="60" t="n">
        <f aca="false">IF(OR($S131=0,Setup!$B$19=""),0,IF(OR($G131="",$G131="Everyone"),1,IF($G131="Custom",N(V131),IF(OR($G131=Setup!$B$19,AND(Setup!$C$19&lt;&gt;"",$G131=Setup!$C$19)),1,0))))</f>
        <v>0</v>
      </c>
      <c r="AG131" s="60" t="n">
        <f aca="false">IF(OR($S131=0,Setup!$B$20=""),0,IF(OR($G131="",$G131="Everyone"),1,IF($G131="Custom",N(W131),IF(OR($G131=Setup!$B$20,AND(Setup!$C$20&lt;&gt;"",$G131=Setup!$C$20)),1,0))))</f>
        <v>0</v>
      </c>
      <c r="AH131" s="60" t="n">
        <f aca="false">IF(OR($S131=0,Setup!$B$21=""),0,IF(OR($G131="",$G131="Everyone"),1,IF($G131="Custom",N(X131),IF(OR($G131=Setup!$B$21,AND(Setup!$C$21&lt;&gt;"",$G131=Setup!$C$21)),1,0))))</f>
        <v>0</v>
      </c>
      <c r="AI131" s="60" t="n">
        <f aca="false">IF(OR($S131=0,Setup!$B$22=""),0,IF(OR($G131="",$G131="Everyone"),1,IF($G131="Custom",N(Y131),IF(OR($G131=Setup!$B$22,AND(Setup!$C$22&lt;&gt;"",$G131=Setup!$C$22)),1,0))))</f>
        <v>0</v>
      </c>
      <c r="AJ131" s="60" t="n">
        <f aca="false">IF(OR($S131=0,Setup!$B$23=""),0,IF(OR($G131="",$G131="Everyone"),1,IF($G131="Custom",N(Z131),IF(OR($G131=Setup!$B$23,AND(Setup!$C$23&lt;&gt;"",$G131=Setup!$C$23)),1,0))))</f>
        <v>0</v>
      </c>
      <c r="AK131" s="60" t="n">
        <f aca="false">IF(OR($S131=0,Setup!$B$24=""),0,IF(OR($G131="",$G131="Everyone"),1,IF($G131="Custom",N(AA131),IF(OR($G131=Setup!$B$24,AND(Setup!$C$24&lt;&gt;"",$G131=Setup!$C$24)),1,0))))</f>
        <v>0</v>
      </c>
      <c r="AL131" s="60" t="n">
        <f aca="false">IF(OR($S131=0,Setup!$B$25=""),0,IF(OR($G131="",$G131="Everyone"),1,IF($G131="Custom",N(AB131),IF(OR($G131=Setup!$B$25,AND(Setup!$C$25&lt;&gt;"",$G131=Setup!$C$25)),1,0))))</f>
        <v>0</v>
      </c>
      <c r="AM131" s="60" t="n">
        <f aca="false">IF(OR($S131=0,Setup!$B$26=""),0,IF(OR($G131="",$G131="Everyone"),1,IF($G131="Custom",N(AC131),IF(OR($G131=Setup!$B$26,AND(Setup!$C$26&lt;&gt;"",$G131=Setup!$C$26)),1,0))))</f>
        <v>0</v>
      </c>
      <c r="AN131" s="60" t="n">
        <f aca="false">IF(OR($S131=0,Setup!$B$27=""),0,IF(OR($G131="",$G131="Everyone"),1,IF($G131="Custom",N(AD131),IF(OR($G131=Setup!$B$27,AND(Setup!$C$27&lt;&gt;"",$G131=Setup!$C$27)),1,0))))</f>
        <v>0</v>
      </c>
      <c r="AO131" s="60" t="n">
        <f aca="false">IF(SUM(AE131:AN131)=0,1,SUM(AE131:AN131))</f>
        <v>1</v>
      </c>
      <c r="AP131" s="60" t="n">
        <f aca="false">IF(H131="Paid",1,0)</f>
        <v>0</v>
      </c>
      <c r="AQ131" s="60" t="n">
        <f aca="false">IF(AND(S131&gt;0,SUM(AE131:AN131)=0),S131,0)</f>
        <v>0</v>
      </c>
      <c r="AR131" s="60" t="str">
        <f aca="false">IF(AND(N131&lt;&gt;"",TodayDay&lt;&gt;"",N131=TodayDay),COUNTIF($N$6:N131,TodayDay),"")</f>
        <v/>
      </c>
      <c r="AS131" s="60" t="n">
        <f aca="false">IF(B131="",0,IF(COUNTIFS(Settings!$A$5:$A$29,B131,Settings!$B$5:$B$29,"Yes")&gt;0,1,0))</f>
        <v>0</v>
      </c>
      <c r="AT131" s="61" t="n">
        <f aca="false">IF(OR(N131="",TodayDay=""),IF(N131="",S131,0),IF(N131&lt;TodayDay,S131,0))</f>
        <v>0</v>
      </c>
    </row>
    <row r="132" customFormat="false" ht="15" hidden="false" customHeight="false" outlineLevel="0" collapsed="false">
      <c r="A132" s="23"/>
      <c r="B132" s="23"/>
      <c r="C132" s="23"/>
      <c r="D132" s="56"/>
      <c r="E132" s="23"/>
      <c r="F132" s="23"/>
      <c r="G132" s="23"/>
      <c r="H132" s="23"/>
      <c r="I132" s="56"/>
      <c r="J132" s="23"/>
      <c r="K132" s="28"/>
      <c r="L132" s="23"/>
      <c r="M132" s="23"/>
      <c r="N132" s="25" t="str">
        <f aca="false">IF(A132="","",IF(LEFT(A132,3)="Pre",0,IFERROR(VALUE(MID(A132,5,FIND(" ",A132&amp;" ",5)-5)),"")))</f>
        <v/>
      </c>
      <c r="O132" s="57" t="str">
        <f aca="false">IF(N132="","",IF(N132=0,"Before trip",IF(TripStart="","",TripStart+N132-1)))</f>
        <v/>
      </c>
      <c r="P132" s="58" t="str">
        <f aca="false">IF(AND(D132="",I132=""),"",IF(OR(E132="",E132=HomeCcy),1,IFERROR(INDEX(Setup!$J$26:$J$33,MATCH(E132,Setup!$G$26:$G$33,0)),IFERROR(INDEX(Settings!$S$5:$S$64,MATCH(E132,Settings!$R$5:$R$64,0))/HomeINR,1))))</f>
        <v/>
      </c>
      <c r="Q132" s="34" t="str">
        <f aca="false">IF(D132="","",D132*P132)</f>
        <v/>
      </c>
      <c r="R132" s="34" t="str">
        <f aca="false">IF(I132="","",I132*P132)</f>
        <v/>
      </c>
      <c r="S132" s="33" t="n">
        <f aca="false">IF(H132="Cancelled",0,IF(R132&lt;&gt;"",R132,IF(Q132&lt;&gt;"",Q132,0)))</f>
        <v>0</v>
      </c>
      <c r="T132" s="45" t="str">
        <f aca="false">IF(S132=0,"",IF(SUM(AE132:AN132)=0,"⚠ nobody picked",COUNTIF(AE132:AN132,"&gt;0")&amp;" people"))</f>
        <v/>
      </c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60" t="n">
        <f aca="false">IF(OR($S132=0,Setup!$B$18=""),0,IF(OR($G132="",$G132="Everyone"),1,IF($G132="Custom",N(U132),IF(OR($G132=Setup!$B$18,AND(Setup!$C$18&lt;&gt;"",$G132=Setup!$C$18)),1,0))))</f>
        <v>0</v>
      </c>
      <c r="AF132" s="60" t="n">
        <f aca="false">IF(OR($S132=0,Setup!$B$19=""),0,IF(OR($G132="",$G132="Everyone"),1,IF($G132="Custom",N(V132),IF(OR($G132=Setup!$B$19,AND(Setup!$C$19&lt;&gt;"",$G132=Setup!$C$19)),1,0))))</f>
        <v>0</v>
      </c>
      <c r="AG132" s="60" t="n">
        <f aca="false">IF(OR($S132=0,Setup!$B$20=""),0,IF(OR($G132="",$G132="Everyone"),1,IF($G132="Custom",N(W132),IF(OR($G132=Setup!$B$20,AND(Setup!$C$20&lt;&gt;"",$G132=Setup!$C$20)),1,0))))</f>
        <v>0</v>
      </c>
      <c r="AH132" s="60" t="n">
        <f aca="false">IF(OR($S132=0,Setup!$B$21=""),0,IF(OR($G132="",$G132="Everyone"),1,IF($G132="Custom",N(X132),IF(OR($G132=Setup!$B$21,AND(Setup!$C$21&lt;&gt;"",$G132=Setup!$C$21)),1,0))))</f>
        <v>0</v>
      </c>
      <c r="AI132" s="60" t="n">
        <f aca="false">IF(OR($S132=0,Setup!$B$22=""),0,IF(OR($G132="",$G132="Everyone"),1,IF($G132="Custom",N(Y132),IF(OR($G132=Setup!$B$22,AND(Setup!$C$22&lt;&gt;"",$G132=Setup!$C$22)),1,0))))</f>
        <v>0</v>
      </c>
      <c r="AJ132" s="60" t="n">
        <f aca="false">IF(OR($S132=0,Setup!$B$23=""),0,IF(OR($G132="",$G132="Everyone"),1,IF($G132="Custom",N(Z132),IF(OR($G132=Setup!$B$23,AND(Setup!$C$23&lt;&gt;"",$G132=Setup!$C$23)),1,0))))</f>
        <v>0</v>
      </c>
      <c r="AK132" s="60" t="n">
        <f aca="false">IF(OR($S132=0,Setup!$B$24=""),0,IF(OR($G132="",$G132="Everyone"),1,IF($G132="Custom",N(AA132),IF(OR($G132=Setup!$B$24,AND(Setup!$C$24&lt;&gt;"",$G132=Setup!$C$24)),1,0))))</f>
        <v>0</v>
      </c>
      <c r="AL132" s="60" t="n">
        <f aca="false">IF(OR($S132=0,Setup!$B$25=""),0,IF(OR($G132="",$G132="Everyone"),1,IF($G132="Custom",N(AB132),IF(OR($G132=Setup!$B$25,AND(Setup!$C$25&lt;&gt;"",$G132=Setup!$C$25)),1,0))))</f>
        <v>0</v>
      </c>
      <c r="AM132" s="60" t="n">
        <f aca="false">IF(OR($S132=0,Setup!$B$26=""),0,IF(OR($G132="",$G132="Everyone"),1,IF($G132="Custom",N(AC132),IF(OR($G132=Setup!$B$26,AND(Setup!$C$26&lt;&gt;"",$G132=Setup!$C$26)),1,0))))</f>
        <v>0</v>
      </c>
      <c r="AN132" s="60" t="n">
        <f aca="false">IF(OR($S132=0,Setup!$B$27=""),0,IF(OR($G132="",$G132="Everyone"),1,IF($G132="Custom",N(AD132),IF(OR($G132=Setup!$B$27,AND(Setup!$C$27&lt;&gt;"",$G132=Setup!$C$27)),1,0))))</f>
        <v>0</v>
      </c>
      <c r="AO132" s="60" t="n">
        <f aca="false">IF(SUM(AE132:AN132)=0,1,SUM(AE132:AN132))</f>
        <v>1</v>
      </c>
      <c r="AP132" s="60" t="n">
        <f aca="false">IF(H132="Paid",1,0)</f>
        <v>0</v>
      </c>
      <c r="AQ132" s="60" t="n">
        <f aca="false">IF(AND(S132&gt;0,SUM(AE132:AN132)=0),S132,0)</f>
        <v>0</v>
      </c>
      <c r="AR132" s="60" t="str">
        <f aca="false">IF(AND(N132&lt;&gt;"",TodayDay&lt;&gt;"",N132=TodayDay),COUNTIF($N$6:N132,TodayDay),"")</f>
        <v/>
      </c>
      <c r="AS132" s="60" t="n">
        <f aca="false">IF(B132="",0,IF(COUNTIFS(Settings!$A$5:$A$29,B132,Settings!$B$5:$B$29,"Yes")&gt;0,1,0))</f>
        <v>0</v>
      </c>
      <c r="AT132" s="61" t="n">
        <f aca="false">IF(OR(N132="",TodayDay=""),IF(N132="",S132,0),IF(N132&lt;TodayDay,S132,0))</f>
        <v>0</v>
      </c>
    </row>
    <row r="133" customFormat="false" ht="15" hidden="false" customHeight="false" outlineLevel="0" collapsed="false">
      <c r="A133" s="23"/>
      <c r="B133" s="23"/>
      <c r="C133" s="23"/>
      <c r="D133" s="56"/>
      <c r="E133" s="23"/>
      <c r="F133" s="23"/>
      <c r="G133" s="23"/>
      <c r="H133" s="23"/>
      <c r="I133" s="56"/>
      <c r="J133" s="23"/>
      <c r="K133" s="28"/>
      <c r="L133" s="23"/>
      <c r="M133" s="23"/>
      <c r="N133" s="25" t="str">
        <f aca="false">IF(A133="","",IF(LEFT(A133,3)="Pre",0,IFERROR(VALUE(MID(A133,5,FIND(" ",A133&amp;" ",5)-5)),"")))</f>
        <v/>
      </c>
      <c r="O133" s="57" t="str">
        <f aca="false">IF(N133="","",IF(N133=0,"Before trip",IF(TripStart="","",TripStart+N133-1)))</f>
        <v/>
      </c>
      <c r="P133" s="58" t="str">
        <f aca="false">IF(AND(D133="",I133=""),"",IF(OR(E133="",E133=HomeCcy),1,IFERROR(INDEX(Setup!$J$26:$J$33,MATCH(E133,Setup!$G$26:$G$33,0)),IFERROR(INDEX(Settings!$S$5:$S$64,MATCH(E133,Settings!$R$5:$R$64,0))/HomeINR,1))))</f>
        <v/>
      </c>
      <c r="Q133" s="34" t="str">
        <f aca="false">IF(D133="","",D133*P133)</f>
        <v/>
      </c>
      <c r="R133" s="34" t="str">
        <f aca="false">IF(I133="","",I133*P133)</f>
        <v/>
      </c>
      <c r="S133" s="33" t="n">
        <f aca="false">IF(H133="Cancelled",0,IF(R133&lt;&gt;"",R133,IF(Q133&lt;&gt;"",Q133,0)))</f>
        <v>0</v>
      </c>
      <c r="T133" s="45" t="str">
        <f aca="false">IF(S133=0,"",IF(SUM(AE133:AN133)=0,"⚠ nobody picked",COUNTIF(AE133:AN133,"&gt;0")&amp;" people"))</f>
        <v/>
      </c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60" t="n">
        <f aca="false">IF(OR($S133=0,Setup!$B$18=""),0,IF(OR($G133="",$G133="Everyone"),1,IF($G133="Custom",N(U133),IF(OR($G133=Setup!$B$18,AND(Setup!$C$18&lt;&gt;"",$G133=Setup!$C$18)),1,0))))</f>
        <v>0</v>
      </c>
      <c r="AF133" s="60" t="n">
        <f aca="false">IF(OR($S133=0,Setup!$B$19=""),0,IF(OR($G133="",$G133="Everyone"),1,IF($G133="Custom",N(V133),IF(OR($G133=Setup!$B$19,AND(Setup!$C$19&lt;&gt;"",$G133=Setup!$C$19)),1,0))))</f>
        <v>0</v>
      </c>
      <c r="AG133" s="60" t="n">
        <f aca="false">IF(OR($S133=0,Setup!$B$20=""),0,IF(OR($G133="",$G133="Everyone"),1,IF($G133="Custom",N(W133),IF(OR($G133=Setup!$B$20,AND(Setup!$C$20&lt;&gt;"",$G133=Setup!$C$20)),1,0))))</f>
        <v>0</v>
      </c>
      <c r="AH133" s="60" t="n">
        <f aca="false">IF(OR($S133=0,Setup!$B$21=""),0,IF(OR($G133="",$G133="Everyone"),1,IF($G133="Custom",N(X133),IF(OR($G133=Setup!$B$21,AND(Setup!$C$21&lt;&gt;"",$G133=Setup!$C$21)),1,0))))</f>
        <v>0</v>
      </c>
      <c r="AI133" s="60" t="n">
        <f aca="false">IF(OR($S133=0,Setup!$B$22=""),0,IF(OR($G133="",$G133="Everyone"),1,IF($G133="Custom",N(Y133),IF(OR($G133=Setup!$B$22,AND(Setup!$C$22&lt;&gt;"",$G133=Setup!$C$22)),1,0))))</f>
        <v>0</v>
      </c>
      <c r="AJ133" s="60" t="n">
        <f aca="false">IF(OR($S133=0,Setup!$B$23=""),0,IF(OR($G133="",$G133="Everyone"),1,IF($G133="Custom",N(Z133),IF(OR($G133=Setup!$B$23,AND(Setup!$C$23&lt;&gt;"",$G133=Setup!$C$23)),1,0))))</f>
        <v>0</v>
      </c>
      <c r="AK133" s="60" t="n">
        <f aca="false">IF(OR($S133=0,Setup!$B$24=""),0,IF(OR($G133="",$G133="Everyone"),1,IF($G133="Custom",N(AA133),IF(OR($G133=Setup!$B$24,AND(Setup!$C$24&lt;&gt;"",$G133=Setup!$C$24)),1,0))))</f>
        <v>0</v>
      </c>
      <c r="AL133" s="60" t="n">
        <f aca="false">IF(OR($S133=0,Setup!$B$25=""),0,IF(OR($G133="",$G133="Everyone"),1,IF($G133="Custom",N(AB133),IF(OR($G133=Setup!$B$25,AND(Setup!$C$25&lt;&gt;"",$G133=Setup!$C$25)),1,0))))</f>
        <v>0</v>
      </c>
      <c r="AM133" s="60" t="n">
        <f aca="false">IF(OR($S133=0,Setup!$B$26=""),0,IF(OR($G133="",$G133="Everyone"),1,IF($G133="Custom",N(AC133),IF(OR($G133=Setup!$B$26,AND(Setup!$C$26&lt;&gt;"",$G133=Setup!$C$26)),1,0))))</f>
        <v>0</v>
      </c>
      <c r="AN133" s="60" t="n">
        <f aca="false">IF(OR($S133=0,Setup!$B$27=""),0,IF(OR($G133="",$G133="Everyone"),1,IF($G133="Custom",N(AD133),IF(OR($G133=Setup!$B$27,AND(Setup!$C$27&lt;&gt;"",$G133=Setup!$C$27)),1,0))))</f>
        <v>0</v>
      </c>
      <c r="AO133" s="60" t="n">
        <f aca="false">IF(SUM(AE133:AN133)=0,1,SUM(AE133:AN133))</f>
        <v>1</v>
      </c>
      <c r="AP133" s="60" t="n">
        <f aca="false">IF(H133="Paid",1,0)</f>
        <v>0</v>
      </c>
      <c r="AQ133" s="60" t="n">
        <f aca="false">IF(AND(S133&gt;0,SUM(AE133:AN133)=0),S133,0)</f>
        <v>0</v>
      </c>
      <c r="AR133" s="60" t="str">
        <f aca="false">IF(AND(N133&lt;&gt;"",TodayDay&lt;&gt;"",N133=TodayDay),COUNTIF($N$6:N133,TodayDay),"")</f>
        <v/>
      </c>
      <c r="AS133" s="60" t="n">
        <f aca="false">IF(B133="",0,IF(COUNTIFS(Settings!$A$5:$A$29,B133,Settings!$B$5:$B$29,"Yes")&gt;0,1,0))</f>
        <v>0</v>
      </c>
      <c r="AT133" s="61" t="n">
        <f aca="false">IF(OR(N133="",TodayDay=""),IF(N133="",S133,0),IF(N133&lt;TodayDay,S133,0))</f>
        <v>0</v>
      </c>
    </row>
    <row r="134" customFormat="false" ht="15" hidden="false" customHeight="false" outlineLevel="0" collapsed="false">
      <c r="A134" s="23"/>
      <c r="B134" s="23"/>
      <c r="C134" s="23"/>
      <c r="D134" s="56"/>
      <c r="E134" s="23"/>
      <c r="F134" s="23"/>
      <c r="G134" s="23"/>
      <c r="H134" s="23"/>
      <c r="I134" s="56"/>
      <c r="J134" s="23"/>
      <c r="K134" s="28"/>
      <c r="L134" s="23"/>
      <c r="M134" s="23"/>
      <c r="N134" s="25" t="str">
        <f aca="false">IF(A134="","",IF(LEFT(A134,3)="Pre",0,IFERROR(VALUE(MID(A134,5,FIND(" ",A134&amp;" ",5)-5)),"")))</f>
        <v/>
      </c>
      <c r="O134" s="57" t="str">
        <f aca="false">IF(N134="","",IF(N134=0,"Before trip",IF(TripStart="","",TripStart+N134-1)))</f>
        <v/>
      </c>
      <c r="P134" s="58" t="str">
        <f aca="false">IF(AND(D134="",I134=""),"",IF(OR(E134="",E134=HomeCcy),1,IFERROR(INDEX(Setup!$J$26:$J$33,MATCH(E134,Setup!$G$26:$G$33,0)),IFERROR(INDEX(Settings!$S$5:$S$64,MATCH(E134,Settings!$R$5:$R$64,0))/HomeINR,1))))</f>
        <v/>
      </c>
      <c r="Q134" s="34" t="str">
        <f aca="false">IF(D134="","",D134*P134)</f>
        <v/>
      </c>
      <c r="R134" s="34" t="str">
        <f aca="false">IF(I134="","",I134*P134)</f>
        <v/>
      </c>
      <c r="S134" s="33" t="n">
        <f aca="false">IF(H134="Cancelled",0,IF(R134&lt;&gt;"",R134,IF(Q134&lt;&gt;"",Q134,0)))</f>
        <v>0</v>
      </c>
      <c r="T134" s="45" t="str">
        <f aca="false">IF(S134=0,"",IF(SUM(AE134:AN134)=0,"⚠ nobody picked",COUNTIF(AE134:AN134,"&gt;0")&amp;" people"))</f>
        <v/>
      </c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60" t="n">
        <f aca="false">IF(OR($S134=0,Setup!$B$18=""),0,IF(OR($G134="",$G134="Everyone"),1,IF($G134="Custom",N(U134),IF(OR($G134=Setup!$B$18,AND(Setup!$C$18&lt;&gt;"",$G134=Setup!$C$18)),1,0))))</f>
        <v>0</v>
      </c>
      <c r="AF134" s="60" t="n">
        <f aca="false">IF(OR($S134=0,Setup!$B$19=""),0,IF(OR($G134="",$G134="Everyone"),1,IF($G134="Custom",N(V134),IF(OR($G134=Setup!$B$19,AND(Setup!$C$19&lt;&gt;"",$G134=Setup!$C$19)),1,0))))</f>
        <v>0</v>
      </c>
      <c r="AG134" s="60" t="n">
        <f aca="false">IF(OR($S134=0,Setup!$B$20=""),0,IF(OR($G134="",$G134="Everyone"),1,IF($G134="Custom",N(W134),IF(OR($G134=Setup!$B$20,AND(Setup!$C$20&lt;&gt;"",$G134=Setup!$C$20)),1,0))))</f>
        <v>0</v>
      </c>
      <c r="AH134" s="60" t="n">
        <f aca="false">IF(OR($S134=0,Setup!$B$21=""),0,IF(OR($G134="",$G134="Everyone"),1,IF($G134="Custom",N(X134),IF(OR($G134=Setup!$B$21,AND(Setup!$C$21&lt;&gt;"",$G134=Setup!$C$21)),1,0))))</f>
        <v>0</v>
      </c>
      <c r="AI134" s="60" t="n">
        <f aca="false">IF(OR($S134=0,Setup!$B$22=""),0,IF(OR($G134="",$G134="Everyone"),1,IF($G134="Custom",N(Y134),IF(OR($G134=Setup!$B$22,AND(Setup!$C$22&lt;&gt;"",$G134=Setup!$C$22)),1,0))))</f>
        <v>0</v>
      </c>
      <c r="AJ134" s="60" t="n">
        <f aca="false">IF(OR($S134=0,Setup!$B$23=""),0,IF(OR($G134="",$G134="Everyone"),1,IF($G134="Custom",N(Z134),IF(OR($G134=Setup!$B$23,AND(Setup!$C$23&lt;&gt;"",$G134=Setup!$C$23)),1,0))))</f>
        <v>0</v>
      </c>
      <c r="AK134" s="60" t="n">
        <f aca="false">IF(OR($S134=0,Setup!$B$24=""),0,IF(OR($G134="",$G134="Everyone"),1,IF($G134="Custom",N(AA134),IF(OR($G134=Setup!$B$24,AND(Setup!$C$24&lt;&gt;"",$G134=Setup!$C$24)),1,0))))</f>
        <v>0</v>
      </c>
      <c r="AL134" s="60" t="n">
        <f aca="false">IF(OR($S134=0,Setup!$B$25=""),0,IF(OR($G134="",$G134="Everyone"),1,IF($G134="Custom",N(AB134),IF(OR($G134=Setup!$B$25,AND(Setup!$C$25&lt;&gt;"",$G134=Setup!$C$25)),1,0))))</f>
        <v>0</v>
      </c>
      <c r="AM134" s="60" t="n">
        <f aca="false">IF(OR($S134=0,Setup!$B$26=""),0,IF(OR($G134="",$G134="Everyone"),1,IF($G134="Custom",N(AC134),IF(OR($G134=Setup!$B$26,AND(Setup!$C$26&lt;&gt;"",$G134=Setup!$C$26)),1,0))))</f>
        <v>0</v>
      </c>
      <c r="AN134" s="60" t="n">
        <f aca="false">IF(OR($S134=0,Setup!$B$27=""),0,IF(OR($G134="",$G134="Everyone"),1,IF($G134="Custom",N(AD134),IF(OR($G134=Setup!$B$27,AND(Setup!$C$27&lt;&gt;"",$G134=Setup!$C$27)),1,0))))</f>
        <v>0</v>
      </c>
      <c r="AO134" s="60" t="n">
        <f aca="false">IF(SUM(AE134:AN134)=0,1,SUM(AE134:AN134))</f>
        <v>1</v>
      </c>
      <c r="AP134" s="60" t="n">
        <f aca="false">IF(H134="Paid",1,0)</f>
        <v>0</v>
      </c>
      <c r="AQ134" s="60" t="n">
        <f aca="false">IF(AND(S134&gt;0,SUM(AE134:AN134)=0),S134,0)</f>
        <v>0</v>
      </c>
      <c r="AR134" s="60" t="str">
        <f aca="false">IF(AND(N134&lt;&gt;"",TodayDay&lt;&gt;"",N134=TodayDay),COUNTIF($N$6:N134,TodayDay),"")</f>
        <v/>
      </c>
      <c r="AS134" s="60" t="n">
        <f aca="false">IF(B134="",0,IF(COUNTIFS(Settings!$A$5:$A$29,B134,Settings!$B$5:$B$29,"Yes")&gt;0,1,0))</f>
        <v>0</v>
      </c>
      <c r="AT134" s="61" t="n">
        <f aca="false">IF(OR(N134="",TodayDay=""),IF(N134="",S134,0),IF(N134&lt;TodayDay,S134,0))</f>
        <v>0</v>
      </c>
    </row>
    <row r="135" customFormat="false" ht="15" hidden="false" customHeight="false" outlineLevel="0" collapsed="false">
      <c r="A135" s="23"/>
      <c r="B135" s="23"/>
      <c r="C135" s="23"/>
      <c r="D135" s="56"/>
      <c r="E135" s="23"/>
      <c r="F135" s="23"/>
      <c r="G135" s="23"/>
      <c r="H135" s="23"/>
      <c r="I135" s="56"/>
      <c r="J135" s="23"/>
      <c r="K135" s="28"/>
      <c r="L135" s="23"/>
      <c r="M135" s="23"/>
      <c r="N135" s="25" t="str">
        <f aca="false">IF(A135="","",IF(LEFT(A135,3)="Pre",0,IFERROR(VALUE(MID(A135,5,FIND(" ",A135&amp;" ",5)-5)),"")))</f>
        <v/>
      </c>
      <c r="O135" s="57" t="str">
        <f aca="false">IF(N135="","",IF(N135=0,"Before trip",IF(TripStart="","",TripStart+N135-1)))</f>
        <v/>
      </c>
      <c r="P135" s="58" t="str">
        <f aca="false">IF(AND(D135="",I135=""),"",IF(OR(E135="",E135=HomeCcy),1,IFERROR(INDEX(Setup!$J$26:$J$33,MATCH(E135,Setup!$G$26:$G$33,0)),IFERROR(INDEX(Settings!$S$5:$S$64,MATCH(E135,Settings!$R$5:$R$64,0))/HomeINR,1))))</f>
        <v/>
      </c>
      <c r="Q135" s="34" t="str">
        <f aca="false">IF(D135="","",D135*P135)</f>
        <v/>
      </c>
      <c r="R135" s="34" t="str">
        <f aca="false">IF(I135="","",I135*P135)</f>
        <v/>
      </c>
      <c r="S135" s="33" t="n">
        <f aca="false">IF(H135="Cancelled",0,IF(R135&lt;&gt;"",R135,IF(Q135&lt;&gt;"",Q135,0)))</f>
        <v>0</v>
      </c>
      <c r="T135" s="45" t="str">
        <f aca="false">IF(S135=0,"",IF(SUM(AE135:AN135)=0,"⚠ nobody picked",COUNTIF(AE135:AN135,"&gt;0")&amp;" people"))</f>
        <v/>
      </c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60" t="n">
        <f aca="false">IF(OR($S135=0,Setup!$B$18=""),0,IF(OR($G135="",$G135="Everyone"),1,IF($G135="Custom",N(U135),IF(OR($G135=Setup!$B$18,AND(Setup!$C$18&lt;&gt;"",$G135=Setup!$C$18)),1,0))))</f>
        <v>0</v>
      </c>
      <c r="AF135" s="60" t="n">
        <f aca="false">IF(OR($S135=0,Setup!$B$19=""),0,IF(OR($G135="",$G135="Everyone"),1,IF($G135="Custom",N(V135),IF(OR($G135=Setup!$B$19,AND(Setup!$C$19&lt;&gt;"",$G135=Setup!$C$19)),1,0))))</f>
        <v>0</v>
      </c>
      <c r="AG135" s="60" t="n">
        <f aca="false">IF(OR($S135=0,Setup!$B$20=""),0,IF(OR($G135="",$G135="Everyone"),1,IF($G135="Custom",N(W135),IF(OR($G135=Setup!$B$20,AND(Setup!$C$20&lt;&gt;"",$G135=Setup!$C$20)),1,0))))</f>
        <v>0</v>
      </c>
      <c r="AH135" s="60" t="n">
        <f aca="false">IF(OR($S135=0,Setup!$B$21=""),0,IF(OR($G135="",$G135="Everyone"),1,IF($G135="Custom",N(X135),IF(OR($G135=Setup!$B$21,AND(Setup!$C$21&lt;&gt;"",$G135=Setup!$C$21)),1,0))))</f>
        <v>0</v>
      </c>
      <c r="AI135" s="60" t="n">
        <f aca="false">IF(OR($S135=0,Setup!$B$22=""),0,IF(OR($G135="",$G135="Everyone"),1,IF($G135="Custom",N(Y135),IF(OR($G135=Setup!$B$22,AND(Setup!$C$22&lt;&gt;"",$G135=Setup!$C$22)),1,0))))</f>
        <v>0</v>
      </c>
      <c r="AJ135" s="60" t="n">
        <f aca="false">IF(OR($S135=0,Setup!$B$23=""),0,IF(OR($G135="",$G135="Everyone"),1,IF($G135="Custom",N(Z135),IF(OR($G135=Setup!$B$23,AND(Setup!$C$23&lt;&gt;"",$G135=Setup!$C$23)),1,0))))</f>
        <v>0</v>
      </c>
      <c r="AK135" s="60" t="n">
        <f aca="false">IF(OR($S135=0,Setup!$B$24=""),0,IF(OR($G135="",$G135="Everyone"),1,IF($G135="Custom",N(AA135),IF(OR($G135=Setup!$B$24,AND(Setup!$C$24&lt;&gt;"",$G135=Setup!$C$24)),1,0))))</f>
        <v>0</v>
      </c>
      <c r="AL135" s="60" t="n">
        <f aca="false">IF(OR($S135=0,Setup!$B$25=""),0,IF(OR($G135="",$G135="Everyone"),1,IF($G135="Custom",N(AB135),IF(OR($G135=Setup!$B$25,AND(Setup!$C$25&lt;&gt;"",$G135=Setup!$C$25)),1,0))))</f>
        <v>0</v>
      </c>
      <c r="AM135" s="60" t="n">
        <f aca="false">IF(OR($S135=0,Setup!$B$26=""),0,IF(OR($G135="",$G135="Everyone"),1,IF($G135="Custom",N(AC135),IF(OR($G135=Setup!$B$26,AND(Setup!$C$26&lt;&gt;"",$G135=Setup!$C$26)),1,0))))</f>
        <v>0</v>
      </c>
      <c r="AN135" s="60" t="n">
        <f aca="false">IF(OR($S135=0,Setup!$B$27=""),0,IF(OR($G135="",$G135="Everyone"),1,IF($G135="Custom",N(AD135),IF(OR($G135=Setup!$B$27,AND(Setup!$C$27&lt;&gt;"",$G135=Setup!$C$27)),1,0))))</f>
        <v>0</v>
      </c>
      <c r="AO135" s="60" t="n">
        <f aca="false">IF(SUM(AE135:AN135)=0,1,SUM(AE135:AN135))</f>
        <v>1</v>
      </c>
      <c r="AP135" s="60" t="n">
        <f aca="false">IF(H135="Paid",1,0)</f>
        <v>0</v>
      </c>
      <c r="AQ135" s="60" t="n">
        <f aca="false">IF(AND(S135&gt;0,SUM(AE135:AN135)=0),S135,0)</f>
        <v>0</v>
      </c>
      <c r="AR135" s="60" t="str">
        <f aca="false">IF(AND(N135&lt;&gt;"",TodayDay&lt;&gt;"",N135=TodayDay),COUNTIF($N$6:N135,TodayDay),"")</f>
        <v/>
      </c>
      <c r="AS135" s="60" t="n">
        <f aca="false">IF(B135="",0,IF(COUNTIFS(Settings!$A$5:$A$29,B135,Settings!$B$5:$B$29,"Yes")&gt;0,1,0))</f>
        <v>0</v>
      </c>
      <c r="AT135" s="61" t="n">
        <f aca="false">IF(OR(N135="",TodayDay=""),IF(N135="",S135,0),IF(N135&lt;TodayDay,S135,0))</f>
        <v>0</v>
      </c>
    </row>
    <row r="136" customFormat="false" ht="15" hidden="false" customHeight="false" outlineLevel="0" collapsed="false">
      <c r="A136" s="23"/>
      <c r="B136" s="23"/>
      <c r="C136" s="23"/>
      <c r="D136" s="56"/>
      <c r="E136" s="23"/>
      <c r="F136" s="23"/>
      <c r="G136" s="23"/>
      <c r="H136" s="23"/>
      <c r="I136" s="56"/>
      <c r="J136" s="23"/>
      <c r="K136" s="28"/>
      <c r="L136" s="23"/>
      <c r="M136" s="23"/>
      <c r="N136" s="25" t="str">
        <f aca="false">IF(A136="","",IF(LEFT(A136,3)="Pre",0,IFERROR(VALUE(MID(A136,5,FIND(" ",A136&amp;" ",5)-5)),"")))</f>
        <v/>
      </c>
      <c r="O136" s="57" t="str">
        <f aca="false">IF(N136="","",IF(N136=0,"Before trip",IF(TripStart="","",TripStart+N136-1)))</f>
        <v/>
      </c>
      <c r="P136" s="58" t="str">
        <f aca="false">IF(AND(D136="",I136=""),"",IF(OR(E136="",E136=HomeCcy),1,IFERROR(INDEX(Setup!$J$26:$J$33,MATCH(E136,Setup!$G$26:$G$33,0)),IFERROR(INDEX(Settings!$S$5:$S$64,MATCH(E136,Settings!$R$5:$R$64,0))/HomeINR,1))))</f>
        <v/>
      </c>
      <c r="Q136" s="34" t="str">
        <f aca="false">IF(D136="","",D136*P136)</f>
        <v/>
      </c>
      <c r="R136" s="34" t="str">
        <f aca="false">IF(I136="","",I136*P136)</f>
        <v/>
      </c>
      <c r="S136" s="33" t="n">
        <f aca="false">IF(H136="Cancelled",0,IF(R136&lt;&gt;"",R136,IF(Q136&lt;&gt;"",Q136,0)))</f>
        <v>0</v>
      </c>
      <c r="T136" s="45" t="str">
        <f aca="false">IF(S136=0,"",IF(SUM(AE136:AN136)=0,"⚠ nobody picked",COUNTIF(AE136:AN136,"&gt;0")&amp;" people"))</f>
        <v/>
      </c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60" t="n">
        <f aca="false">IF(OR($S136=0,Setup!$B$18=""),0,IF(OR($G136="",$G136="Everyone"),1,IF($G136="Custom",N(U136),IF(OR($G136=Setup!$B$18,AND(Setup!$C$18&lt;&gt;"",$G136=Setup!$C$18)),1,0))))</f>
        <v>0</v>
      </c>
      <c r="AF136" s="60" t="n">
        <f aca="false">IF(OR($S136=0,Setup!$B$19=""),0,IF(OR($G136="",$G136="Everyone"),1,IF($G136="Custom",N(V136),IF(OR($G136=Setup!$B$19,AND(Setup!$C$19&lt;&gt;"",$G136=Setup!$C$19)),1,0))))</f>
        <v>0</v>
      </c>
      <c r="AG136" s="60" t="n">
        <f aca="false">IF(OR($S136=0,Setup!$B$20=""),0,IF(OR($G136="",$G136="Everyone"),1,IF($G136="Custom",N(W136),IF(OR($G136=Setup!$B$20,AND(Setup!$C$20&lt;&gt;"",$G136=Setup!$C$20)),1,0))))</f>
        <v>0</v>
      </c>
      <c r="AH136" s="60" t="n">
        <f aca="false">IF(OR($S136=0,Setup!$B$21=""),0,IF(OR($G136="",$G136="Everyone"),1,IF($G136="Custom",N(X136),IF(OR($G136=Setup!$B$21,AND(Setup!$C$21&lt;&gt;"",$G136=Setup!$C$21)),1,0))))</f>
        <v>0</v>
      </c>
      <c r="AI136" s="60" t="n">
        <f aca="false">IF(OR($S136=0,Setup!$B$22=""),0,IF(OR($G136="",$G136="Everyone"),1,IF($G136="Custom",N(Y136),IF(OR($G136=Setup!$B$22,AND(Setup!$C$22&lt;&gt;"",$G136=Setup!$C$22)),1,0))))</f>
        <v>0</v>
      </c>
      <c r="AJ136" s="60" t="n">
        <f aca="false">IF(OR($S136=0,Setup!$B$23=""),0,IF(OR($G136="",$G136="Everyone"),1,IF($G136="Custom",N(Z136),IF(OR($G136=Setup!$B$23,AND(Setup!$C$23&lt;&gt;"",$G136=Setup!$C$23)),1,0))))</f>
        <v>0</v>
      </c>
      <c r="AK136" s="60" t="n">
        <f aca="false">IF(OR($S136=0,Setup!$B$24=""),0,IF(OR($G136="",$G136="Everyone"),1,IF($G136="Custom",N(AA136),IF(OR($G136=Setup!$B$24,AND(Setup!$C$24&lt;&gt;"",$G136=Setup!$C$24)),1,0))))</f>
        <v>0</v>
      </c>
      <c r="AL136" s="60" t="n">
        <f aca="false">IF(OR($S136=0,Setup!$B$25=""),0,IF(OR($G136="",$G136="Everyone"),1,IF($G136="Custom",N(AB136),IF(OR($G136=Setup!$B$25,AND(Setup!$C$25&lt;&gt;"",$G136=Setup!$C$25)),1,0))))</f>
        <v>0</v>
      </c>
      <c r="AM136" s="60" t="n">
        <f aca="false">IF(OR($S136=0,Setup!$B$26=""),0,IF(OR($G136="",$G136="Everyone"),1,IF($G136="Custom",N(AC136),IF(OR($G136=Setup!$B$26,AND(Setup!$C$26&lt;&gt;"",$G136=Setup!$C$26)),1,0))))</f>
        <v>0</v>
      </c>
      <c r="AN136" s="60" t="n">
        <f aca="false">IF(OR($S136=0,Setup!$B$27=""),0,IF(OR($G136="",$G136="Everyone"),1,IF($G136="Custom",N(AD136),IF(OR($G136=Setup!$B$27,AND(Setup!$C$27&lt;&gt;"",$G136=Setup!$C$27)),1,0))))</f>
        <v>0</v>
      </c>
      <c r="AO136" s="60" t="n">
        <f aca="false">IF(SUM(AE136:AN136)=0,1,SUM(AE136:AN136))</f>
        <v>1</v>
      </c>
      <c r="AP136" s="60" t="n">
        <f aca="false">IF(H136="Paid",1,0)</f>
        <v>0</v>
      </c>
      <c r="AQ136" s="60" t="n">
        <f aca="false">IF(AND(S136&gt;0,SUM(AE136:AN136)=0),S136,0)</f>
        <v>0</v>
      </c>
      <c r="AR136" s="60" t="str">
        <f aca="false">IF(AND(N136&lt;&gt;"",TodayDay&lt;&gt;"",N136=TodayDay),COUNTIF($N$6:N136,TodayDay),"")</f>
        <v/>
      </c>
      <c r="AS136" s="60" t="n">
        <f aca="false">IF(B136="",0,IF(COUNTIFS(Settings!$A$5:$A$29,B136,Settings!$B$5:$B$29,"Yes")&gt;0,1,0))</f>
        <v>0</v>
      </c>
      <c r="AT136" s="61" t="n">
        <f aca="false">IF(OR(N136="",TodayDay=""),IF(N136="",S136,0),IF(N136&lt;TodayDay,S136,0))</f>
        <v>0</v>
      </c>
    </row>
    <row r="137" customFormat="false" ht="15" hidden="false" customHeight="false" outlineLevel="0" collapsed="false">
      <c r="A137" s="23"/>
      <c r="B137" s="23"/>
      <c r="C137" s="23"/>
      <c r="D137" s="56"/>
      <c r="E137" s="23"/>
      <c r="F137" s="23"/>
      <c r="G137" s="23"/>
      <c r="H137" s="23"/>
      <c r="I137" s="56"/>
      <c r="J137" s="23"/>
      <c r="K137" s="28"/>
      <c r="L137" s="23"/>
      <c r="M137" s="23"/>
      <c r="N137" s="25" t="str">
        <f aca="false">IF(A137="","",IF(LEFT(A137,3)="Pre",0,IFERROR(VALUE(MID(A137,5,FIND(" ",A137&amp;" ",5)-5)),"")))</f>
        <v/>
      </c>
      <c r="O137" s="57" t="str">
        <f aca="false">IF(N137="","",IF(N137=0,"Before trip",IF(TripStart="","",TripStart+N137-1)))</f>
        <v/>
      </c>
      <c r="P137" s="58" t="str">
        <f aca="false">IF(AND(D137="",I137=""),"",IF(OR(E137="",E137=HomeCcy),1,IFERROR(INDEX(Setup!$J$26:$J$33,MATCH(E137,Setup!$G$26:$G$33,0)),IFERROR(INDEX(Settings!$S$5:$S$64,MATCH(E137,Settings!$R$5:$R$64,0))/HomeINR,1))))</f>
        <v/>
      </c>
      <c r="Q137" s="34" t="str">
        <f aca="false">IF(D137="","",D137*P137)</f>
        <v/>
      </c>
      <c r="R137" s="34" t="str">
        <f aca="false">IF(I137="","",I137*P137)</f>
        <v/>
      </c>
      <c r="S137" s="33" t="n">
        <f aca="false">IF(H137="Cancelled",0,IF(R137&lt;&gt;"",R137,IF(Q137&lt;&gt;"",Q137,0)))</f>
        <v>0</v>
      </c>
      <c r="T137" s="45" t="str">
        <f aca="false">IF(S137=0,"",IF(SUM(AE137:AN137)=0,"⚠ nobody picked",COUNTIF(AE137:AN137,"&gt;0")&amp;" people"))</f>
        <v/>
      </c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60" t="n">
        <f aca="false">IF(OR($S137=0,Setup!$B$18=""),0,IF(OR($G137="",$G137="Everyone"),1,IF($G137="Custom",N(U137),IF(OR($G137=Setup!$B$18,AND(Setup!$C$18&lt;&gt;"",$G137=Setup!$C$18)),1,0))))</f>
        <v>0</v>
      </c>
      <c r="AF137" s="60" t="n">
        <f aca="false">IF(OR($S137=0,Setup!$B$19=""),0,IF(OR($G137="",$G137="Everyone"),1,IF($G137="Custom",N(V137),IF(OR($G137=Setup!$B$19,AND(Setup!$C$19&lt;&gt;"",$G137=Setup!$C$19)),1,0))))</f>
        <v>0</v>
      </c>
      <c r="AG137" s="60" t="n">
        <f aca="false">IF(OR($S137=0,Setup!$B$20=""),0,IF(OR($G137="",$G137="Everyone"),1,IF($G137="Custom",N(W137),IF(OR($G137=Setup!$B$20,AND(Setup!$C$20&lt;&gt;"",$G137=Setup!$C$20)),1,0))))</f>
        <v>0</v>
      </c>
      <c r="AH137" s="60" t="n">
        <f aca="false">IF(OR($S137=0,Setup!$B$21=""),0,IF(OR($G137="",$G137="Everyone"),1,IF($G137="Custom",N(X137),IF(OR($G137=Setup!$B$21,AND(Setup!$C$21&lt;&gt;"",$G137=Setup!$C$21)),1,0))))</f>
        <v>0</v>
      </c>
      <c r="AI137" s="60" t="n">
        <f aca="false">IF(OR($S137=0,Setup!$B$22=""),0,IF(OR($G137="",$G137="Everyone"),1,IF($G137="Custom",N(Y137),IF(OR($G137=Setup!$B$22,AND(Setup!$C$22&lt;&gt;"",$G137=Setup!$C$22)),1,0))))</f>
        <v>0</v>
      </c>
      <c r="AJ137" s="60" t="n">
        <f aca="false">IF(OR($S137=0,Setup!$B$23=""),0,IF(OR($G137="",$G137="Everyone"),1,IF($G137="Custom",N(Z137),IF(OR($G137=Setup!$B$23,AND(Setup!$C$23&lt;&gt;"",$G137=Setup!$C$23)),1,0))))</f>
        <v>0</v>
      </c>
      <c r="AK137" s="60" t="n">
        <f aca="false">IF(OR($S137=0,Setup!$B$24=""),0,IF(OR($G137="",$G137="Everyone"),1,IF($G137="Custom",N(AA137),IF(OR($G137=Setup!$B$24,AND(Setup!$C$24&lt;&gt;"",$G137=Setup!$C$24)),1,0))))</f>
        <v>0</v>
      </c>
      <c r="AL137" s="60" t="n">
        <f aca="false">IF(OR($S137=0,Setup!$B$25=""),0,IF(OR($G137="",$G137="Everyone"),1,IF($G137="Custom",N(AB137),IF(OR($G137=Setup!$B$25,AND(Setup!$C$25&lt;&gt;"",$G137=Setup!$C$25)),1,0))))</f>
        <v>0</v>
      </c>
      <c r="AM137" s="60" t="n">
        <f aca="false">IF(OR($S137=0,Setup!$B$26=""),0,IF(OR($G137="",$G137="Everyone"),1,IF($G137="Custom",N(AC137),IF(OR($G137=Setup!$B$26,AND(Setup!$C$26&lt;&gt;"",$G137=Setup!$C$26)),1,0))))</f>
        <v>0</v>
      </c>
      <c r="AN137" s="60" t="n">
        <f aca="false">IF(OR($S137=0,Setup!$B$27=""),0,IF(OR($G137="",$G137="Everyone"),1,IF($G137="Custom",N(AD137),IF(OR($G137=Setup!$B$27,AND(Setup!$C$27&lt;&gt;"",$G137=Setup!$C$27)),1,0))))</f>
        <v>0</v>
      </c>
      <c r="AO137" s="60" t="n">
        <f aca="false">IF(SUM(AE137:AN137)=0,1,SUM(AE137:AN137))</f>
        <v>1</v>
      </c>
      <c r="AP137" s="60" t="n">
        <f aca="false">IF(H137="Paid",1,0)</f>
        <v>0</v>
      </c>
      <c r="AQ137" s="60" t="n">
        <f aca="false">IF(AND(S137&gt;0,SUM(AE137:AN137)=0),S137,0)</f>
        <v>0</v>
      </c>
      <c r="AR137" s="60" t="str">
        <f aca="false">IF(AND(N137&lt;&gt;"",TodayDay&lt;&gt;"",N137=TodayDay),COUNTIF($N$6:N137,TodayDay),"")</f>
        <v/>
      </c>
      <c r="AS137" s="60" t="n">
        <f aca="false">IF(B137="",0,IF(COUNTIFS(Settings!$A$5:$A$29,B137,Settings!$B$5:$B$29,"Yes")&gt;0,1,0))</f>
        <v>0</v>
      </c>
      <c r="AT137" s="61" t="n">
        <f aca="false">IF(OR(N137="",TodayDay=""),IF(N137="",S137,0),IF(N137&lt;TodayDay,S137,0))</f>
        <v>0</v>
      </c>
    </row>
    <row r="138" customFormat="false" ht="15" hidden="false" customHeight="false" outlineLevel="0" collapsed="false">
      <c r="A138" s="23"/>
      <c r="B138" s="23"/>
      <c r="C138" s="23"/>
      <c r="D138" s="56"/>
      <c r="E138" s="23"/>
      <c r="F138" s="23"/>
      <c r="G138" s="23"/>
      <c r="H138" s="23"/>
      <c r="I138" s="56"/>
      <c r="J138" s="23"/>
      <c r="K138" s="28"/>
      <c r="L138" s="23"/>
      <c r="M138" s="23"/>
      <c r="N138" s="25" t="str">
        <f aca="false">IF(A138="","",IF(LEFT(A138,3)="Pre",0,IFERROR(VALUE(MID(A138,5,FIND(" ",A138&amp;" ",5)-5)),"")))</f>
        <v/>
      </c>
      <c r="O138" s="57" t="str">
        <f aca="false">IF(N138="","",IF(N138=0,"Before trip",IF(TripStart="","",TripStart+N138-1)))</f>
        <v/>
      </c>
      <c r="P138" s="58" t="str">
        <f aca="false">IF(AND(D138="",I138=""),"",IF(OR(E138="",E138=HomeCcy),1,IFERROR(INDEX(Setup!$J$26:$J$33,MATCH(E138,Setup!$G$26:$G$33,0)),IFERROR(INDEX(Settings!$S$5:$S$64,MATCH(E138,Settings!$R$5:$R$64,0))/HomeINR,1))))</f>
        <v/>
      </c>
      <c r="Q138" s="34" t="str">
        <f aca="false">IF(D138="","",D138*P138)</f>
        <v/>
      </c>
      <c r="R138" s="34" t="str">
        <f aca="false">IF(I138="","",I138*P138)</f>
        <v/>
      </c>
      <c r="S138" s="33" t="n">
        <f aca="false">IF(H138="Cancelled",0,IF(R138&lt;&gt;"",R138,IF(Q138&lt;&gt;"",Q138,0)))</f>
        <v>0</v>
      </c>
      <c r="T138" s="45" t="str">
        <f aca="false">IF(S138=0,"",IF(SUM(AE138:AN138)=0,"⚠ nobody picked",COUNTIF(AE138:AN138,"&gt;0")&amp;" people"))</f>
        <v/>
      </c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60" t="n">
        <f aca="false">IF(OR($S138=0,Setup!$B$18=""),0,IF(OR($G138="",$G138="Everyone"),1,IF($G138="Custom",N(U138),IF(OR($G138=Setup!$B$18,AND(Setup!$C$18&lt;&gt;"",$G138=Setup!$C$18)),1,0))))</f>
        <v>0</v>
      </c>
      <c r="AF138" s="60" t="n">
        <f aca="false">IF(OR($S138=0,Setup!$B$19=""),0,IF(OR($G138="",$G138="Everyone"),1,IF($G138="Custom",N(V138),IF(OR($G138=Setup!$B$19,AND(Setup!$C$19&lt;&gt;"",$G138=Setup!$C$19)),1,0))))</f>
        <v>0</v>
      </c>
      <c r="AG138" s="60" t="n">
        <f aca="false">IF(OR($S138=0,Setup!$B$20=""),0,IF(OR($G138="",$G138="Everyone"),1,IF($G138="Custom",N(W138),IF(OR($G138=Setup!$B$20,AND(Setup!$C$20&lt;&gt;"",$G138=Setup!$C$20)),1,0))))</f>
        <v>0</v>
      </c>
      <c r="AH138" s="60" t="n">
        <f aca="false">IF(OR($S138=0,Setup!$B$21=""),0,IF(OR($G138="",$G138="Everyone"),1,IF($G138="Custom",N(X138),IF(OR($G138=Setup!$B$21,AND(Setup!$C$21&lt;&gt;"",$G138=Setup!$C$21)),1,0))))</f>
        <v>0</v>
      </c>
      <c r="AI138" s="60" t="n">
        <f aca="false">IF(OR($S138=0,Setup!$B$22=""),0,IF(OR($G138="",$G138="Everyone"),1,IF($G138="Custom",N(Y138),IF(OR($G138=Setup!$B$22,AND(Setup!$C$22&lt;&gt;"",$G138=Setup!$C$22)),1,0))))</f>
        <v>0</v>
      </c>
      <c r="AJ138" s="60" t="n">
        <f aca="false">IF(OR($S138=0,Setup!$B$23=""),0,IF(OR($G138="",$G138="Everyone"),1,IF($G138="Custom",N(Z138),IF(OR($G138=Setup!$B$23,AND(Setup!$C$23&lt;&gt;"",$G138=Setup!$C$23)),1,0))))</f>
        <v>0</v>
      </c>
      <c r="AK138" s="60" t="n">
        <f aca="false">IF(OR($S138=0,Setup!$B$24=""),0,IF(OR($G138="",$G138="Everyone"),1,IF($G138="Custom",N(AA138),IF(OR($G138=Setup!$B$24,AND(Setup!$C$24&lt;&gt;"",$G138=Setup!$C$24)),1,0))))</f>
        <v>0</v>
      </c>
      <c r="AL138" s="60" t="n">
        <f aca="false">IF(OR($S138=0,Setup!$B$25=""),0,IF(OR($G138="",$G138="Everyone"),1,IF($G138="Custom",N(AB138),IF(OR($G138=Setup!$B$25,AND(Setup!$C$25&lt;&gt;"",$G138=Setup!$C$25)),1,0))))</f>
        <v>0</v>
      </c>
      <c r="AM138" s="60" t="n">
        <f aca="false">IF(OR($S138=0,Setup!$B$26=""),0,IF(OR($G138="",$G138="Everyone"),1,IF($G138="Custom",N(AC138),IF(OR($G138=Setup!$B$26,AND(Setup!$C$26&lt;&gt;"",$G138=Setup!$C$26)),1,0))))</f>
        <v>0</v>
      </c>
      <c r="AN138" s="60" t="n">
        <f aca="false">IF(OR($S138=0,Setup!$B$27=""),0,IF(OR($G138="",$G138="Everyone"),1,IF($G138="Custom",N(AD138),IF(OR($G138=Setup!$B$27,AND(Setup!$C$27&lt;&gt;"",$G138=Setup!$C$27)),1,0))))</f>
        <v>0</v>
      </c>
      <c r="AO138" s="60" t="n">
        <f aca="false">IF(SUM(AE138:AN138)=0,1,SUM(AE138:AN138))</f>
        <v>1</v>
      </c>
      <c r="AP138" s="60" t="n">
        <f aca="false">IF(H138="Paid",1,0)</f>
        <v>0</v>
      </c>
      <c r="AQ138" s="60" t="n">
        <f aca="false">IF(AND(S138&gt;0,SUM(AE138:AN138)=0),S138,0)</f>
        <v>0</v>
      </c>
      <c r="AR138" s="60" t="str">
        <f aca="false">IF(AND(N138&lt;&gt;"",TodayDay&lt;&gt;"",N138=TodayDay),COUNTIF($N$6:N138,TodayDay),"")</f>
        <v/>
      </c>
      <c r="AS138" s="60" t="n">
        <f aca="false">IF(B138="",0,IF(COUNTIFS(Settings!$A$5:$A$29,B138,Settings!$B$5:$B$29,"Yes")&gt;0,1,0))</f>
        <v>0</v>
      </c>
      <c r="AT138" s="61" t="n">
        <f aca="false">IF(OR(N138="",TodayDay=""),IF(N138="",S138,0),IF(N138&lt;TodayDay,S138,0))</f>
        <v>0</v>
      </c>
    </row>
    <row r="139" customFormat="false" ht="15" hidden="false" customHeight="false" outlineLevel="0" collapsed="false">
      <c r="A139" s="23"/>
      <c r="B139" s="23"/>
      <c r="C139" s="23"/>
      <c r="D139" s="56"/>
      <c r="E139" s="23"/>
      <c r="F139" s="23"/>
      <c r="G139" s="23"/>
      <c r="H139" s="23"/>
      <c r="I139" s="56"/>
      <c r="J139" s="23"/>
      <c r="K139" s="28"/>
      <c r="L139" s="23"/>
      <c r="M139" s="23"/>
      <c r="N139" s="25" t="str">
        <f aca="false">IF(A139="","",IF(LEFT(A139,3)="Pre",0,IFERROR(VALUE(MID(A139,5,FIND(" ",A139&amp;" ",5)-5)),"")))</f>
        <v/>
      </c>
      <c r="O139" s="57" t="str">
        <f aca="false">IF(N139="","",IF(N139=0,"Before trip",IF(TripStart="","",TripStart+N139-1)))</f>
        <v/>
      </c>
      <c r="P139" s="58" t="str">
        <f aca="false">IF(AND(D139="",I139=""),"",IF(OR(E139="",E139=HomeCcy),1,IFERROR(INDEX(Setup!$J$26:$J$33,MATCH(E139,Setup!$G$26:$G$33,0)),IFERROR(INDEX(Settings!$S$5:$S$64,MATCH(E139,Settings!$R$5:$R$64,0))/HomeINR,1))))</f>
        <v/>
      </c>
      <c r="Q139" s="34" t="str">
        <f aca="false">IF(D139="","",D139*P139)</f>
        <v/>
      </c>
      <c r="R139" s="34" t="str">
        <f aca="false">IF(I139="","",I139*P139)</f>
        <v/>
      </c>
      <c r="S139" s="33" t="n">
        <f aca="false">IF(H139="Cancelled",0,IF(R139&lt;&gt;"",R139,IF(Q139&lt;&gt;"",Q139,0)))</f>
        <v>0</v>
      </c>
      <c r="T139" s="45" t="str">
        <f aca="false">IF(S139=0,"",IF(SUM(AE139:AN139)=0,"⚠ nobody picked",COUNTIF(AE139:AN139,"&gt;0")&amp;" people"))</f>
        <v/>
      </c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60" t="n">
        <f aca="false">IF(OR($S139=0,Setup!$B$18=""),0,IF(OR($G139="",$G139="Everyone"),1,IF($G139="Custom",N(U139),IF(OR($G139=Setup!$B$18,AND(Setup!$C$18&lt;&gt;"",$G139=Setup!$C$18)),1,0))))</f>
        <v>0</v>
      </c>
      <c r="AF139" s="60" t="n">
        <f aca="false">IF(OR($S139=0,Setup!$B$19=""),0,IF(OR($G139="",$G139="Everyone"),1,IF($G139="Custom",N(V139),IF(OR($G139=Setup!$B$19,AND(Setup!$C$19&lt;&gt;"",$G139=Setup!$C$19)),1,0))))</f>
        <v>0</v>
      </c>
      <c r="AG139" s="60" t="n">
        <f aca="false">IF(OR($S139=0,Setup!$B$20=""),0,IF(OR($G139="",$G139="Everyone"),1,IF($G139="Custom",N(W139),IF(OR($G139=Setup!$B$20,AND(Setup!$C$20&lt;&gt;"",$G139=Setup!$C$20)),1,0))))</f>
        <v>0</v>
      </c>
      <c r="AH139" s="60" t="n">
        <f aca="false">IF(OR($S139=0,Setup!$B$21=""),0,IF(OR($G139="",$G139="Everyone"),1,IF($G139="Custom",N(X139),IF(OR($G139=Setup!$B$21,AND(Setup!$C$21&lt;&gt;"",$G139=Setup!$C$21)),1,0))))</f>
        <v>0</v>
      </c>
      <c r="AI139" s="60" t="n">
        <f aca="false">IF(OR($S139=0,Setup!$B$22=""),0,IF(OR($G139="",$G139="Everyone"),1,IF($G139="Custom",N(Y139),IF(OR($G139=Setup!$B$22,AND(Setup!$C$22&lt;&gt;"",$G139=Setup!$C$22)),1,0))))</f>
        <v>0</v>
      </c>
      <c r="AJ139" s="60" t="n">
        <f aca="false">IF(OR($S139=0,Setup!$B$23=""),0,IF(OR($G139="",$G139="Everyone"),1,IF($G139="Custom",N(Z139),IF(OR($G139=Setup!$B$23,AND(Setup!$C$23&lt;&gt;"",$G139=Setup!$C$23)),1,0))))</f>
        <v>0</v>
      </c>
      <c r="AK139" s="60" t="n">
        <f aca="false">IF(OR($S139=0,Setup!$B$24=""),0,IF(OR($G139="",$G139="Everyone"),1,IF($G139="Custom",N(AA139),IF(OR($G139=Setup!$B$24,AND(Setup!$C$24&lt;&gt;"",$G139=Setup!$C$24)),1,0))))</f>
        <v>0</v>
      </c>
      <c r="AL139" s="60" t="n">
        <f aca="false">IF(OR($S139=0,Setup!$B$25=""),0,IF(OR($G139="",$G139="Everyone"),1,IF($G139="Custom",N(AB139),IF(OR($G139=Setup!$B$25,AND(Setup!$C$25&lt;&gt;"",$G139=Setup!$C$25)),1,0))))</f>
        <v>0</v>
      </c>
      <c r="AM139" s="60" t="n">
        <f aca="false">IF(OR($S139=0,Setup!$B$26=""),0,IF(OR($G139="",$G139="Everyone"),1,IF($G139="Custom",N(AC139),IF(OR($G139=Setup!$B$26,AND(Setup!$C$26&lt;&gt;"",$G139=Setup!$C$26)),1,0))))</f>
        <v>0</v>
      </c>
      <c r="AN139" s="60" t="n">
        <f aca="false">IF(OR($S139=0,Setup!$B$27=""),0,IF(OR($G139="",$G139="Everyone"),1,IF($G139="Custom",N(AD139),IF(OR($G139=Setup!$B$27,AND(Setup!$C$27&lt;&gt;"",$G139=Setup!$C$27)),1,0))))</f>
        <v>0</v>
      </c>
      <c r="AO139" s="60" t="n">
        <f aca="false">IF(SUM(AE139:AN139)=0,1,SUM(AE139:AN139))</f>
        <v>1</v>
      </c>
      <c r="AP139" s="60" t="n">
        <f aca="false">IF(H139="Paid",1,0)</f>
        <v>0</v>
      </c>
      <c r="AQ139" s="60" t="n">
        <f aca="false">IF(AND(S139&gt;0,SUM(AE139:AN139)=0),S139,0)</f>
        <v>0</v>
      </c>
      <c r="AR139" s="60" t="str">
        <f aca="false">IF(AND(N139&lt;&gt;"",TodayDay&lt;&gt;"",N139=TodayDay),COUNTIF($N$6:N139,TodayDay),"")</f>
        <v/>
      </c>
      <c r="AS139" s="60" t="n">
        <f aca="false">IF(B139="",0,IF(COUNTIFS(Settings!$A$5:$A$29,B139,Settings!$B$5:$B$29,"Yes")&gt;0,1,0))</f>
        <v>0</v>
      </c>
      <c r="AT139" s="61" t="n">
        <f aca="false">IF(OR(N139="",TodayDay=""),IF(N139="",S139,0),IF(N139&lt;TodayDay,S139,0))</f>
        <v>0</v>
      </c>
    </row>
    <row r="140" customFormat="false" ht="15" hidden="false" customHeight="false" outlineLevel="0" collapsed="false">
      <c r="A140" s="23"/>
      <c r="B140" s="23"/>
      <c r="C140" s="23"/>
      <c r="D140" s="56"/>
      <c r="E140" s="23"/>
      <c r="F140" s="23"/>
      <c r="G140" s="23"/>
      <c r="H140" s="23"/>
      <c r="I140" s="56"/>
      <c r="J140" s="23"/>
      <c r="K140" s="28"/>
      <c r="L140" s="23"/>
      <c r="M140" s="23"/>
      <c r="N140" s="25" t="str">
        <f aca="false">IF(A140="","",IF(LEFT(A140,3)="Pre",0,IFERROR(VALUE(MID(A140,5,FIND(" ",A140&amp;" ",5)-5)),"")))</f>
        <v/>
      </c>
      <c r="O140" s="57" t="str">
        <f aca="false">IF(N140="","",IF(N140=0,"Before trip",IF(TripStart="","",TripStart+N140-1)))</f>
        <v/>
      </c>
      <c r="P140" s="58" t="str">
        <f aca="false">IF(AND(D140="",I140=""),"",IF(OR(E140="",E140=HomeCcy),1,IFERROR(INDEX(Setup!$J$26:$J$33,MATCH(E140,Setup!$G$26:$G$33,0)),IFERROR(INDEX(Settings!$S$5:$S$64,MATCH(E140,Settings!$R$5:$R$64,0))/HomeINR,1))))</f>
        <v/>
      </c>
      <c r="Q140" s="34" t="str">
        <f aca="false">IF(D140="","",D140*P140)</f>
        <v/>
      </c>
      <c r="R140" s="34" t="str">
        <f aca="false">IF(I140="","",I140*P140)</f>
        <v/>
      </c>
      <c r="S140" s="33" t="n">
        <f aca="false">IF(H140="Cancelled",0,IF(R140&lt;&gt;"",R140,IF(Q140&lt;&gt;"",Q140,0)))</f>
        <v>0</v>
      </c>
      <c r="T140" s="45" t="str">
        <f aca="false">IF(S140=0,"",IF(SUM(AE140:AN140)=0,"⚠ nobody picked",COUNTIF(AE140:AN140,"&gt;0")&amp;" people"))</f>
        <v/>
      </c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60" t="n">
        <f aca="false">IF(OR($S140=0,Setup!$B$18=""),0,IF(OR($G140="",$G140="Everyone"),1,IF($G140="Custom",N(U140),IF(OR($G140=Setup!$B$18,AND(Setup!$C$18&lt;&gt;"",$G140=Setup!$C$18)),1,0))))</f>
        <v>0</v>
      </c>
      <c r="AF140" s="60" t="n">
        <f aca="false">IF(OR($S140=0,Setup!$B$19=""),0,IF(OR($G140="",$G140="Everyone"),1,IF($G140="Custom",N(V140),IF(OR($G140=Setup!$B$19,AND(Setup!$C$19&lt;&gt;"",$G140=Setup!$C$19)),1,0))))</f>
        <v>0</v>
      </c>
      <c r="AG140" s="60" t="n">
        <f aca="false">IF(OR($S140=0,Setup!$B$20=""),0,IF(OR($G140="",$G140="Everyone"),1,IF($G140="Custom",N(W140),IF(OR($G140=Setup!$B$20,AND(Setup!$C$20&lt;&gt;"",$G140=Setup!$C$20)),1,0))))</f>
        <v>0</v>
      </c>
      <c r="AH140" s="60" t="n">
        <f aca="false">IF(OR($S140=0,Setup!$B$21=""),0,IF(OR($G140="",$G140="Everyone"),1,IF($G140="Custom",N(X140),IF(OR($G140=Setup!$B$21,AND(Setup!$C$21&lt;&gt;"",$G140=Setup!$C$21)),1,0))))</f>
        <v>0</v>
      </c>
      <c r="AI140" s="60" t="n">
        <f aca="false">IF(OR($S140=0,Setup!$B$22=""),0,IF(OR($G140="",$G140="Everyone"),1,IF($G140="Custom",N(Y140),IF(OR($G140=Setup!$B$22,AND(Setup!$C$22&lt;&gt;"",$G140=Setup!$C$22)),1,0))))</f>
        <v>0</v>
      </c>
      <c r="AJ140" s="60" t="n">
        <f aca="false">IF(OR($S140=0,Setup!$B$23=""),0,IF(OR($G140="",$G140="Everyone"),1,IF($G140="Custom",N(Z140),IF(OR($G140=Setup!$B$23,AND(Setup!$C$23&lt;&gt;"",$G140=Setup!$C$23)),1,0))))</f>
        <v>0</v>
      </c>
      <c r="AK140" s="60" t="n">
        <f aca="false">IF(OR($S140=0,Setup!$B$24=""),0,IF(OR($G140="",$G140="Everyone"),1,IF($G140="Custom",N(AA140),IF(OR($G140=Setup!$B$24,AND(Setup!$C$24&lt;&gt;"",$G140=Setup!$C$24)),1,0))))</f>
        <v>0</v>
      </c>
      <c r="AL140" s="60" t="n">
        <f aca="false">IF(OR($S140=0,Setup!$B$25=""),0,IF(OR($G140="",$G140="Everyone"),1,IF($G140="Custom",N(AB140),IF(OR($G140=Setup!$B$25,AND(Setup!$C$25&lt;&gt;"",$G140=Setup!$C$25)),1,0))))</f>
        <v>0</v>
      </c>
      <c r="AM140" s="60" t="n">
        <f aca="false">IF(OR($S140=0,Setup!$B$26=""),0,IF(OR($G140="",$G140="Everyone"),1,IF($G140="Custom",N(AC140),IF(OR($G140=Setup!$B$26,AND(Setup!$C$26&lt;&gt;"",$G140=Setup!$C$26)),1,0))))</f>
        <v>0</v>
      </c>
      <c r="AN140" s="60" t="n">
        <f aca="false">IF(OR($S140=0,Setup!$B$27=""),0,IF(OR($G140="",$G140="Everyone"),1,IF($G140="Custom",N(AD140),IF(OR($G140=Setup!$B$27,AND(Setup!$C$27&lt;&gt;"",$G140=Setup!$C$27)),1,0))))</f>
        <v>0</v>
      </c>
      <c r="AO140" s="60" t="n">
        <f aca="false">IF(SUM(AE140:AN140)=0,1,SUM(AE140:AN140))</f>
        <v>1</v>
      </c>
      <c r="AP140" s="60" t="n">
        <f aca="false">IF(H140="Paid",1,0)</f>
        <v>0</v>
      </c>
      <c r="AQ140" s="60" t="n">
        <f aca="false">IF(AND(S140&gt;0,SUM(AE140:AN140)=0),S140,0)</f>
        <v>0</v>
      </c>
      <c r="AR140" s="60" t="str">
        <f aca="false">IF(AND(N140&lt;&gt;"",TodayDay&lt;&gt;"",N140=TodayDay),COUNTIF($N$6:N140,TodayDay),"")</f>
        <v/>
      </c>
      <c r="AS140" s="60" t="n">
        <f aca="false">IF(B140="",0,IF(COUNTIFS(Settings!$A$5:$A$29,B140,Settings!$B$5:$B$29,"Yes")&gt;0,1,0))</f>
        <v>0</v>
      </c>
      <c r="AT140" s="61" t="n">
        <f aca="false">IF(OR(N140="",TodayDay=""),IF(N140="",S140,0),IF(N140&lt;TodayDay,S140,0))</f>
        <v>0</v>
      </c>
    </row>
    <row r="141" customFormat="false" ht="15" hidden="false" customHeight="false" outlineLevel="0" collapsed="false">
      <c r="A141" s="23"/>
      <c r="B141" s="23"/>
      <c r="C141" s="23"/>
      <c r="D141" s="56"/>
      <c r="E141" s="23"/>
      <c r="F141" s="23"/>
      <c r="G141" s="23"/>
      <c r="H141" s="23"/>
      <c r="I141" s="56"/>
      <c r="J141" s="23"/>
      <c r="K141" s="28"/>
      <c r="L141" s="23"/>
      <c r="M141" s="23"/>
      <c r="N141" s="25" t="str">
        <f aca="false">IF(A141="","",IF(LEFT(A141,3)="Pre",0,IFERROR(VALUE(MID(A141,5,FIND(" ",A141&amp;" ",5)-5)),"")))</f>
        <v/>
      </c>
      <c r="O141" s="57" t="str">
        <f aca="false">IF(N141="","",IF(N141=0,"Before trip",IF(TripStart="","",TripStart+N141-1)))</f>
        <v/>
      </c>
      <c r="P141" s="58" t="str">
        <f aca="false">IF(AND(D141="",I141=""),"",IF(OR(E141="",E141=HomeCcy),1,IFERROR(INDEX(Setup!$J$26:$J$33,MATCH(E141,Setup!$G$26:$G$33,0)),IFERROR(INDEX(Settings!$S$5:$S$64,MATCH(E141,Settings!$R$5:$R$64,0))/HomeINR,1))))</f>
        <v/>
      </c>
      <c r="Q141" s="34" t="str">
        <f aca="false">IF(D141="","",D141*P141)</f>
        <v/>
      </c>
      <c r="R141" s="34" t="str">
        <f aca="false">IF(I141="","",I141*P141)</f>
        <v/>
      </c>
      <c r="S141" s="33" t="n">
        <f aca="false">IF(H141="Cancelled",0,IF(R141&lt;&gt;"",R141,IF(Q141&lt;&gt;"",Q141,0)))</f>
        <v>0</v>
      </c>
      <c r="T141" s="45" t="str">
        <f aca="false">IF(S141=0,"",IF(SUM(AE141:AN141)=0,"⚠ nobody picked",COUNTIF(AE141:AN141,"&gt;0")&amp;" people"))</f>
        <v/>
      </c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60" t="n">
        <f aca="false">IF(OR($S141=0,Setup!$B$18=""),0,IF(OR($G141="",$G141="Everyone"),1,IF($G141="Custom",N(U141),IF(OR($G141=Setup!$B$18,AND(Setup!$C$18&lt;&gt;"",$G141=Setup!$C$18)),1,0))))</f>
        <v>0</v>
      </c>
      <c r="AF141" s="60" t="n">
        <f aca="false">IF(OR($S141=0,Setup!$B$19=""),0,IF(OR($G141="",$G141="Everyone"),1,IF($G141="Custom",N(V141),IF(OR($G141=Setup!$B$19,AND(Setup!$C$19&lt;&gt;"",$G141=Setup!$C$19)),1,0))))</f>
        <v>0</v>
      </c>
      <c r="AG141" s="60" t="n">
        <f aca="false">IF(OR($S141=0,Setup!$B$20=""),0,IF(OR($G141="",$G141="Everyone"),1,IF($G141="Custom",N(W141),IF(OR($G141=Setup!$B$20,AND(Setup!$C$20&lt;&gt;"",$G141=Setup!$C$20)),1,0))))</f>
        <v>0</v>
      </c>
      <c r="AH141" s="60" t="n">
        <f aca="false">IF(OR($S141=0,Setup!$B$21=""),0,IF(OR($G141="",$G141="Everyone"),1,IF($G141="Custom",N(X141),IF(OR($G141=Setup!$B$21,AND(Setup!$C$21&lt;&gt;"",$G141=Setup!$C$21)),1,0))))</f>
        <v>0</v>
      </c>
      <c r="AI141" s="60" t="n">
        <f aca="false">IF(OR($S141=0,Setup!$B$22=""),0,IF(OR($G141="",$G141="Everyone"),1,IF($G141="Custom",N(Y141),IF(OR($G141=Setup!$B$22,AND(Setup!$C$22&lt;&gt;"",$G141=Setup!$C$22)),1,0))))</f>
        <v>0</v>
      </c>
      <c r="AJ141" s="60" t="n">
        <f aca="false">IF(OR($S141=0,Setup!$B$23=""),0,IF(OR($G141="",$G141="Everyone"),1,IF($G141="Custom",N(Z141),IF(OR($G141=Setup!$B$23,AND(Setup!$C$23&lt;&gt;"",$G141=Setup!$C$23)),1,0))))</f>
        <v>0</v>
      </c>
      <c r="AK141" s="60" t="n">
        <f aca="false">IF(OR($S141=0,Setup!$B$24=""),0,IF(OR($G141="",$G141="Everyone"),1,IF($G141="Custom",N(AA141),IF(OR($G141=Setup!$B$24,AND(Setup!$C$24&lt;&gt;"",$G141=Setup!$C$24)),1,0))))</f>
        <v>0</v>
      </c>
      <c r="AL141" s="60" t="n">
        <f aca="false">IF(OR($S141=0,Setup!$B$25=""),0,IF(OR($G141="",$G141="Everyone"),1,IF($G141="Custom",N(AB141),IF(OR($G141=Setup!$B$25,AND(Setup!$C$25&lt;&gt;"",$G141=Setup!$C$25)),1,0))))</f>
        <v>0</v>
      </c>
      <c r="AM141" s="60" t="n">
        <f aca="false">IF(OR($S141=0,Setup!$B$26=""),0,IF(OR($G141="",$G141="Everyone"),1,IF($G141="Custom",N(AC141),IF(OR($G141=Setup!$B$26,AND(Setup!$C$26&lt;&gt;"",$G141=Setup!$C$26)),1,0))))</f>
        <v>0</v>
      </c>
      <c r="AN141" s="60" t="n">
        <f aca="false">IF(OR($S141=0,Setup!$B$27=""),0,IF(OR($G141="",$G141="Everyone"),1,IF($G141="Custom",N(AD141),IF(OR($G141=Setup!$B$27,AND(Setup!$C$27&lt;&gt;"",$G141=Setup!$C$27)),1,0))))</f>
        <v>0</v>
      </c>
      <c r="AO141" s="60" t="n">
        <f aca="false">IF(SUM(AE141:AN141)=0,1,SUM(AE141:AN141))</f>
        <v>1</v>
      </c>
      <c r="AP141" s="60" t="n">
        <f aca="false">IF(H141="Paid",1,0)</f>
        <v>0</v>
      </c>
      <c r="AQ141" s="60" t="n">
        <f aca="false">IF(AND(S141&gt;0,SUM(AE141:AN141)=0),S141,0)</f>
        <v>0</v>
      </c>
      <c r="AR141" s="60" t="str">
        <f aca="false">IF(AND(N141&lt;&gt;"",TodayDay&lt;&gt;"",N141=TodayDay),COUNTIF($N$6:N141,TodayDay),"")</f>
        <v/>
      </c>
      <c r="AS141" s="60" t="n">
        <f aca="false">IF(B141="",0,IF(COUNTIFS(Settings!$A$5:$A$29,B141,Settings!$B$5:$B$29,"Yes")&gt;0,1,0))</f>
        <v>0</v>
      </c>
      <c r="AT141" s="61" t="n">
        <f aca="false">IF(OR(N141="",TodayDay=""),IF(N141="",S141,0),IF(N141&lt;TodayDay,S141,0))</f>
        <v>0</v>
      </c>
    </row>
    <row r="142" customFormat="false" ht="15" hidden="false" customHeight="false" outlineLevel="0" collapsed="false">
      <c r="A142" s="23"/>
      <c r="B142" s="23"/>
      <c r="C142" s="23"/>
      <c r="D142" s="56"/>
      <c r="E142" s="23"/>
      <c r="F142" s="23"/>
      <c r="G142" s="23"/>
      <c r="H142" s="23"/>
      <c r="I142" s="56"/>
      <c r="J142" s="23"/>
      <c r="K142" s="28"/>
      <c r="L142" s="23"/>
      <c r="M142" s="23"/>
      <c r="N142" s="25" t="str">
        <f aca="false">IF(A142="","",IF(LEFT(A142,3)="Pre",0,IFERROR(VALUE(MID(A142,5,FIND(" ",A142&amp;" ",5)-5)),"")))</f>
        <v/>
      </c>
      <c r="O142" s="57" t="str">
        <f aca="false">IF(N142="","",IF(N142=0,"Before trip",IF(TripStart="","",TripStart+N142-1)))</f>
        <v/>
      </c>
      <c r="P142" s="58" t="str">
        <f aca="false">IF(AND(D142="",I142=""),"",IF(OR(E142="",E142=HomeCcy),1,IFERROR(INDEX(Setup!$J$26:$J$33,MATCH(E142,Setup!$G$26:$G$33,0)),IFERROR(INDEX(Settings!$S$5:$S$64,MATCH(E142,Settings!$R$5:$R$64,0))/HomeINR,1))))</f>
        <v/>
      </c>
      <c r="Q142" s="34" t="str">
        <f aca="false">IF(D142="","",D142*P142)</f>
        <v/>
      </c>
      <c r="R142" s="34" t="str">
        <f aca="false">IF(I142="","",I142*P142)</f>
        <v/>
      </c>
      <c r="S142" s="33" t="n">
        <f aca="false">IF(H142="Cancelled",0,IF(R142&lt;&gt;"",R142,IF(Q142&lt;&gt;"",Q142,0)))</f>
        <v>0</v>
      </c>
      <c r="T142" s="45" t="str">
        <f aca="false">IF(S142=0,"",IF(SUM(AE142:AN142)=0,"⚠ nobody picked",COUNTIF(AE142:AN142,"&gt;0")&amp;" people"))</f>
        <v/>
      </c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60" t="n">
        <f aca="false">IF(OR($S142=0,Setup!$B$18=""),0,IF(OR($G142="",$G142="Everyone"),1,IF($G142="Custom",N(U142),IF(OR($G142=Setup!$B$18,AND(Setup!$C$18&lt;&gt;"",$G142=Setup!$C$18)),1,0))))</f>
        <v>0</v>
      </c>
      <c r="AF142" s="60" t="n">
        <f aca="false">IF(OR($S142=0,Setup!$B$19=""),0,IF(OR($G142="",$G142="Everyone"),1,IF($G142="Custom",N(V142),IF(OR($G142=Setup!$B$19,AND(Setup!$C$19&lt;&gt;"",$G142=Setup!$C$19)),1,0))))</f>
        <v>0</v>
      </c>
      <c r="AG142" s="60" t="n">
        <f aca="false">IF(OR($S142=0,Setup!$B$20=""),0,IF(OR($G142="",$G142="Everyone"),1,IF($G142="Custom",N(W142),IF(OR($G142=Setup!$B$20,AND(Setup!$C$20&lt;&gt;"",$G142=Setup!$C$20)),1,0))))</f>
        <v>0</v>
      </c>
      <c r="AH142" s="60" t="n">
        <f aca="false">IF(OR($S142=0,Setup!$B$21=""),0,IF(OR($G142="",$G142="Everyone"),1,IF($G142="Custom",N(X142),IF(OR($G142=Setup!$B$21,AND(Setup!$C$21&lt;&gt;"",$G142=Setup!$C$21)),1,0))))</f>
        <v>0</v>
      </c>
      <c r="AI142" s="60" t="n">
        <f aca="false">IF(OR($S142=0,Setup!$B$22=""),0,IF(OR($G142="",$G142="Everyone"),1,IF($G142="Custom",N(Y142),IF(OR($G142=Setup!$B$22,AND(Setup!$C$22&lt;&gt;"",$G142=Setup!$C$22)),1,0))))</f>
        <v>0</v>
      </c>
      <c r="AJ142" s="60" t="n">
        <f aca="false">IF(OR($S142=0,Setup!$B$23=""),0,IF(OR($G142="",$G142="Everyone"),1,IF($G142="Custom",N(Z142),IF(OR($G142=Setup!$B$23,AND(Setup!$C$23&lt;&gt;"",$G142=Setup!$C$23)),1,0))))</f>
        <v>0</v>
      </c>
      <c r="AK142" s="60" t="n">
        <f aca="false">IF(OR($S142=0,Setup!$B$24=""),0,IF(OR($G142="",$G142="Everyone"),1,IF($G142="Custom",N(AA142),IF(OR($G142=Setup!$B$24,AND(Setup!$C$24&lt;&gt;"",$G142=Setup!$C$24)),1,0))))</f>
        <v>0</v>
      </c>
      <c r="AL142" s="60" t="n">
        <f aca="false">IF(OR($S142=0,Setup!$B$25=""),0,IF(OR($G142="",$G142="Everyone"),1,IF($G142="Custom",N(AB142),IF(OR($G142=Setup!$B$25,AND(Setup!$C$25&lt;&gt;"",$G142=Setup!$C$25)),1,0))))</f>
        <v>0</v>
      </c>
      <c r="AM142" s="60" t="n">
        <f aca="false">IF(OR($S142=0,Setup!$B$26=""),0,IF(OR($G142="",$G142="Everyone"),1,IF($G142="Custom",N(AC142),IF(OR($G142=Setup!$B$26,AND(Setup!$C$26&lt;&gt;"",$G142=Setup!$C$26)),1,0))))</f>
        <v>0</v>
      </c>
      <c r="AN142" s="60" t="n">
        <f aca="false">IF(OR($S142=0,Setup!$B$27=""),0,IF(OR($G142="",$G142="Everyone"),1,IF($G142="Custom",N(AD142),IF(OR($G142=Setup!$B$27,AND(Setup!$C$27&lt;&gt;"",$G142=Setup!$C$27)),1,0))))</f>
        <v>0</v>
      </c>
      <c r="AO142" s="60" t="n">
        <f aca="false">IF(SUM(AE142:AN142)=0,1,SUM(AE142:AN142))</f>
        <v>1</v>
      </c>
      <c r="AP142" s="60" t="n">
        <f aca="false">IF(H142="Paid",1,0)</f>
        <v>0</v>
      </c>
      <c r="AQ142" s="60" t="n">
        <f aca="false">IF(AND(S142&gt;0,SUM(AE142:AN142)=0),S142,0)</f>
        <v>0</v>
      </c>
      <c r="AR142" s="60" t="str">
        <f aca="false">IF(AND(N142&lt;&gt;"",TodayDay&lt;&gt;"",N142=TodayDay),COUNTIF($N$6:N142,TodayDay),"")</f>
        <v/>
      </c>
      <c r="AS142" s="60" t="n">
        <f aca="false">IF(B142="",0,IF(COUNTIFS(Settings!$A$5:$A$29,B142,Settings!$B$5:$B$29,"Yes")&gt;0,1,0))</f>
        <v>0</v>
      </c>
      <c r="AT142" s="61" t="n">
        <f aca="false">IF(OR(N142="",TodayDay=""),IF(N142="",S142,0),IF(N142&lt;TodayDay,S142,0))</f>
        <v>0</v>
      </c>
    </row>
    <row r="143" customFormat="false" ht="15" hidden="false" customHeight="false" outlineLevel="0" collapsed="false">
      <c r="A143" s="23"/>
      <c r="B143" s="23"/>
      <c r="C143" s="23"/>
      <c r="D143" s="56"/>
      <c r="E143" s="23"/>
      <c r="F143" s="23"/>
      <c r="G143" s="23"/>
      <c r="H143" s="23"/>
      <c r="I143" s="56"/>
      <c r="J143" s="23"/>
      <c r="K143" s="28"/>
      <c r="L143" s="23"/>
      <c r="M143" s="23"/>
      <c r="N143" s="25" t="str">
        <f aca="false">IF(A143="","",IF(LEFT(A143,3)="Pre",0,IFERROR(VALUE(MID(A143,5,FIND(" ",A143&amp;" ",5)-5)),"")))</f>
        <v/>
      </c>
      <c r="O143" s="57" t="str">
        <f aca="false">IF(N143="","",IF(N143=0,"Before trip",IF(TripStart="","",TripStart+N143-1)))</f>
        <v/>
      </c>
      <c r="P143" s="58" t="str">
        <f aca="false">IF(AND(D143="",I143=""),"",IF(OR(E143="",E143=HomeCcy),1,IFERROR(INDEX(Setup!$J$26:$J$33,MATCH(E143,Setup!$G$26:$G$33,0)),IFERROR(INDEX(Settings!$S$5:$S$64,MATCH(E143,Settings!$R$5:$R$64,0))/HomeINR,1))))</f>
        <v/>
      </c>
      <c r="Q143" s="34" t="str">
        <f aca="false">IF(D143="","",D143*P143)</f>
        <v/>
      </c>
      <c r="R143" s="34" t="str">
        <f aca="false">IF(I143="","",I143*P143)</f>
        <v/>
      </c>
      <c r="S143" s="33" t="n">
        <f aca="false">IF(H143="Cancelled",0,IF(R143&lt;&gt;"",R143,IF(Q143&lt;&gt;"",Q143,0)))</f>
        <v>0</v>
      </c>
      <c r="T143" s="45" t="str">
        <f aca="false">IF(S143=0,"",IF(SUM(AE143:AN143)=0,"⚠ nobody picked",COUNTIF(AE143:AN143,"&gt;0")&amp;" people"))</f>
        <v/>
      </c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60" t="n">
        <f aca="false">IF(OR($S143=0,Setup!$B$18=""),0,IF(OR($G143="",$G143="Everyone"),1,IF($G143="Custom",N(U143),IF(OR($G143=Setup!$B$18,AND(Setup!$C$18&lt;&gt;"",$G143=Setup!$C$18)),1,0))))</f>
        <v>0</v>
      </c>
      <c r="AF143" s="60" t="n">
        <f aca="false">IF(OR($S143=0,Setup!$B$19=""),0,IF(OR($G143="",$G143="Everyone"),1,IF($G143="Custom",N(V143),IF(OR($G143=Setup!$B$19,AND(Setup!$C$19&lt;&gt;"",$G143=Setup!$C$19)),1,0))))</f>
        <v>0</v>
      </c>
      <c r="AG143" s="60" t="n">
        <f aca="false">IF(OR($S143=0,Setup!$B$20=""),0,IF(OR($G143="",$G143="Everyone"),1,IF($G143="Custom",N(W143),IF(OR($G143=Setup!$B$20,AND(Setup!$C$20&lt;&gt;"",$G143=Setup!$C$20)),1,0))))</f>
        <v>0</v>
      </c>
      <c r="AH143" s="60" t="n">
        <f aca="false">IF(OR($S143=0,Setup!$B$21=""),0,IF(OR($G143="",$G143="Everyone"),1,IF($G143="Custom",N(X143),IF(OR($G143=Setup!$B$21,AND(Setup!$C$21&lt;&gt;"",$G143=Setup!$C$21)),1,0))))</f>
        <v>0</v>
      </c>
      <c r="AI143" s="60" t="n">
        <f aca="false">IF(OR($S143=0,Setup!$B$22=""),0,IF(OR($G143="",$G143="Everyone"),1,IF($G143="Custom",N(Y143),IF(OR($G143=Setup!$B$22,AND(Setup!$C$22&lt;&gt;"",$G143=Setup!$C$22)),1,0))))</f>
        <v>0</v>
      </c>
      <c r="AJ143" s="60" t="n">
        <f aca="false">IF(OR($S143=0,Setup!$B$23=""),0,IF(OR($G143="",$G143="Everyone"),1,IF($G143="Custom",N(Z143),IF(OR($G143=Setup!$B$23,AND(Setup!$C$23&lt;&gt;"",$G143=Setup!$C$23)),1,0))))</f>
        <v>0</v>
      </c>
      <c r="AK143" s="60" t="n">
        <f aca="false">IF(OR($S143=0,Setup!$B$24=""),0,IF(OR($G143="",$G143="Everyone"),1,IF($G143="Custom",N(AA143),IF(OR($G143=Setup!$B$24,AND(Setup!$C$24&lt;&gt;"",$G143=Setup!$C$24)),1,0))))</f>
        <v>0</v>
      </c>
      <c r="AL143" s="60" t="n">
        <f aca="false">IF(OR($S143=0,Setup!$B$25=""),0,IF(OR($G143="",$G143="Everyone"),1,IF($G143="Custom",N(AB143),IF(OR($G143=Setup!$B$25,AND(Setup!$C$25&lt;&gt;"",$G143=Setup!$C$25)),1,0))))</f>
        <v>0</v>
      </c>
      <c r="AM143" s="60" t="n">
        <f aca="false">IF(OR($S143=0,Setup!$B$26=""),0,IF(OR($G143="",$G143="Everyone"),1,IF($G143="Custom",N(AC143),IF(OR($G143=Setup!$B$26,AND(Setup!$C$26&lt;&gt;"",$G143=Setup!$C$26)),1,0))))</f>
        <v>0</v>
      </c>
      <c r="AN143" s="60" t="n">
        <f aca="false">IF(OR($S143=0,Setup!$B$27=""),0,IF(OR($G143="",$G143="Everyone"),1,IF($G143="Custom",N(AD143),IF(OR($G143=Setup!$B$27,AND(Setup!$C$27&lt;&gt;"",$G143=Setup!$C$27)),1,0))))</f>
        <v>0</v>
      </c>
      <c r="AO143" s="60" t="n">
        <f aca="false">IF(SUM(AE143:AN143)=0,1,SUM(AE143:AN143))</f>
        <v>1</v>
      </c>
      <c r="AP143" s="60" t="n">
        <f aca="false">IF(H143="Paid",1,0)</f>
        <v>0</v>
      </c>
      <c r="AQ143" s="60" t="n">
        <f aca="false">IF(AND(S143&gt;0,SUM(AE143:AN143)=0),S143,0)</f>
        <v>0</v>
      </c>
      <c r="AR143" s="60" t="str">
        <f aca="false">IF(AND(N143&lt;&gt;"",TodayDay&lt;&gt;"",N143=TodayDay),COUNTIF($N$6:N143,TodayDay),"")</f>
        <v/>
      </c>
      <c r="AS143" s="60" t="n">
        <f aca="false">IF(B143="",0,IF(COUNTIFS(Settings!$A$5:$A$29,B143,Settings!$B$5:$B$29,"Yes")&gt;0,1,0))</f>
        <v>0</v>
      </c>
      <c r="AT143" s="61" t="n">
        <f aca="false">IF(OR(N143="",TodayDay=""),IF(N143="",S143,0),IF(N143&lt;TodayDay,S143,0))</f>
        <v>0</v>
      </c>
    </row>
    <row r="144" customFormat="false" ht="15" hidden="false" customHeight="false" outlineLevel="0" collapsed="false">
      <c r="A144" s="23"/>
      <c r="B144" s="23"/>
      <c r="C144" s="23"/>
      <c r="D144" s="56"/>
      <c r="E144" s="23"/>
      <c r="F144" s="23"/>
      <c r="G144" s="23"/>
      <c r="H144" s="23"/>
      <c r="I144" s="56"/>
      <c r="J144" s="23"/>
      <c r="K144" s="28"/>
      <c r="L144" s="23"/>
      <c r="M144" s="23"/>
      <c r="N144" s="25" t="str">
        <f aca="false">IF(A144="","",IF(LEFT(A144,3)="Pre",0,IFERROR(VALUE(MID(A144,5,FIND(" ",A144&amp;" ",5)-5)),"")))</f>
        <v/>
      </c>
      <c r="O144" s="57" t="str">
        <f aca="false">IF(N144="","",IF(N144=0,"Before trip",IF(TripStart="","",TripStart+N144-1)))</f>
        <v/>
      </c>
      <c r="P144" s="58" t="str">
        <f aca="false">IF(AND(D144="",I144=""),"",IF(OR(E144="",E144=HomeCcy),1,IFERROR(INDEX(Setup!$J$26:$J$33,MATCH(E144,Setup!$G$26:$G$33,0)),IFERROR(INDEX(Settings!$S$5:$S$64,MATCH(E144,Settings!$R$5:$R$64,0))/HomeINR,1))))</f>
        <v/>
      </c>
      <c r="Q144" s="34" t="str">
        <f aca="false">IF(D144="","",D144*P144)</f>
        <v/>
      </c>
      <c r="R144" s="34" t="str">
        <f aca="false">IF(I144="","",I144*P144)</f>
        <v/>
      </c>
      <c r="S144" s="33" t="n">
        <f aca="false">IF(H144="Cancelled",0,IF(R144&lt;&gt;"",R144,IF(Q144&lt;&gt;"",Q144,0)))</f>
        <v>0</v>
      </c>
      <c r="T144" s="45" t="str">
        <f aca="false">IF(S144=0,"",IF(SUM(AE144:AN144)=0,"⚠ nobody picked",COUNTIF(AE144:AN144,"&gt;0")&amp;" people"))</f>
        <v/>
      </c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60" t="n">
        <f aca="false">IF(OR($S144=0,Setup!$B$18=""),0,IF(OR($G144="",$G144="Everyone"),1,IF($G144="Custom",N(U144),IF(OR($G144=Setup!$B$18,AND(Setup!$C$18&lt;&gt;"",$G144=Setup!$C$18)),1,0))))</f>
        <v>0</v>
      </c>
      <c r="AF144" s="60" t="n">
        <f aca="false">IF(OR($S144=0,Setup!$B$19=""),0,IF(OR($G144="",$G144="Everyone"),1,IF($G144="Custom",N(V144),IF(OR($G144=Setup!$B$19,AND(Setup!$C$19&lt;&gt;"",$G144=Setup!$C$19)),1,0))))</f>
        <v>0</v>
      </c>
      <c r="AG144" s="60" t="n">
        <f aca="false">IF(OR($S144=0,Setup!$B$20=""),0,IF(OR($G144="",$G144="Everyone"),1,IF($G144="Custom",N(W144),IF(OR($G144=Setup!$B$20,AND(Setup!$C$20&lt;&gt;"",$G144=Setup!$C$20)),1,0))))</f>
        <v>0</v>
      </c>
      <c r="AH144" s="60" t="n">
        <f aca="false">IF(OR($S144=0,Setup!$B$21=""),0,IF(OR($G144="",$G144="Everyone"),1,IF($G144="Custom",N(X144),IF(OR($G144=Setup!$B$21,AND(Setup!$C$21&lt;&gt;"",$G144=Setup!$C$21)),1,0))))</f>
        <v>0</v>
      </c>
      <c r="AI144" s="60" t="n">
        <f aca="false">IF(OR($S144=0,Setup!$B$22=""),0,IF(OR($G144="",$G144="Everyone"),1,IF($G144="Custom",N(Y144),IF(OR($G144=Setup!$B$22,AND(Setup!$C$22&lt;&gt;"",$G144=Setup!$C$22)),1,0))))</f>
        <v>0</v>
      </c>
      <c r="AJ144" s="60" t="n">
        <f aca="false">IF(OR($S144=0,Setup!$B$23=""),0,IF(OR($G144="",$G144="Everyone"),1,IF($G144="Custom",N(Z144),IF(OR($G144=Setup!$B$23,AND(Setup!$C$23&lt;&gt;"",$G144=Setup!$C$23)),1,0))))</f>
        <v>0</v>
      </c>
      <c r="AK144" s="60" t="n">
        <f aca="false">IF(OR($S144=0,Setup!$B$24=""),0,IF(OR($G144="",$G144="Everyone"),1,IF($G144="Custom",N(AA144),IF(OR($G144=Setup!$B$24,AND(Setup!$C$24&lt;&gt;"",$G144=Setup!$C$24)),1,0))))</f>
        <v>0</v>
      </c>
      <c r="AL144" s="60" t="n">
        <f aca="false">IF(OR($S144=0,Setup!$B$25=""),0,IF(OR($G144="",$G144="Everyone"),1,IF($G144="Custom",N(AB144),IF(OR($G144=Setup!$B$25,AND(Setup!$C$25&lt;&gt;"",$G144=Setup!$C$25)),1,0))))</f>
        <v>0</v>
      </c>
      <c r="AM144" s="60" t="n">
        <f aca="false">IF(OR($S144=0,Setup!$B$26=""),0,IF(OR($G144="",$G144="Everyone"),1,IF($G144="Custom",N(AC144),IF(OR($G144=Setup!$B$26,AND(Setup!$C$26&lt;&gt;"",$G144=Setup!$C$26)),1,0))))</f>
        <v>0</v>
      </c>
      <c r="AN144" s="60" t="n">
        <f aca="false">IF(OR($S144=0,Setup!$B$27=""),0,IF(OR($G144="",$G144="Everyone"),1,IF($G144="Custom",N(AD144),IF(OR($G144=Setup!$B$27,AND(Setup!$C$27&lt;&gt;"",$G144=Setup!$C$27)),1,0))))</f>
        <v>0</v>
      </c>
      <c r="AO144" s="60" t="n">
        <f aca="false">IF(SUM(AE144:AN144)=0,1,SUM(AE144:AN144))</f>
        <v>1</v>
      </c>
      <c r="AP144" s="60" t="n">
        <f aca="false">IF(H144="Paid",1,0)</f>
        <v>0</v>
      </c>
      <c r="AQ144" s="60" t="n">
        <f aca="false">IF(AND(S144&gt;0,SUM(AE144:AN144)=0),S144,0)</f>
        <v>0</v>
      </c>
      <c r="AR144" s="60" t="str">
        <f aca="false">IF(AND(N144&lt;&gt;"",TodayDay&lt;&gt;"",N144=TodayDay),COUNTIF($N$6:N144,TodayDay),"")</f>
        <v/>
      </c>
      <c r="AS144" s="60" t="n">
        <f aca="false">IF(B144="",0,IF(COUNTIFS(Settings!$A$5:$A$29,B144,Settings!$B$5:$B$29,"Yes")&gt;0,1,0))</f>
        <v>0</v>
      </c>
      <c r="AT144" s="61" t="n">
        <f aca="false">IF(OR(N144="",TodayDay=""),IF(N144="",S144,0),IF(N144&lt;TodayDay,S144,0))</f>
        <v>0</v>
      </c>
    </row>
    <row r="145" customFormat="false" ht="15" hidden="false" customHeight="false" outlineLevel="0" collapsed="false">
      <c r="A145" s="23"/>
      <c r="B145" s="23"/>
      <c r="C145" s="23"/>
      <c r="D145" s="56"/>
      <c r="E145" s="23"/>
      <c r="F145" s="23"/>
      <c r="G145" s="23"/>
      <c r="H145" s="23"/>
      <c r="I145" s="56"/>
      <c r="J145" s="23"/>
      <c r="K145" s="28"/>
      <c r="L145" s="23"/>
      <c r="M145" s="23"/>
      <c r="N145" s="25" t="str">
        <f aca="false">IF(A145="","",IF(LEFT(A145,3)="Pre",0,IFERROR(VALUE(MID(A145,5,FIND(" ",A145&amp;" ",5)-5)),"")))</f>
        <v/>
      </c>
      <c r="O145" s="57" t="str">
        <f aca="false">IF(N145="","",IF(N145=0,"Before trip",IF(TripStart="","",TripStart+N145-1)))</f>
        <v/>
      </c>
      <c r="P145" s="58" t="str">
        <f aca="false">IF(AND(D145="",I145=""),"",IF(OR(E145="",E145=HomeCcy),1,IFERROR(INDEX(Setup!$J$26:$J$33,MATCH(E145,Setup!$G$26:$G$33,0)),IFERROR(INDEX(Settings!$S$5:$S$64,MATCH(E145,Settings!$R$5:$R$64,0))/HomeINR,1))))</f>
        <v/>
      </c>
      <c r="Q145" s="34" t="str">
        <f aca="false">IF(D145="","",D145*P145)</f>
        <v/>
      </c>
      <c r="R145" s="34" t="str">
        <f aca="false">IF(I145="","",I145*P145)</f>
        <v/>
      </c>
      <c r="S145" s="33" t="n">
        <f aca="false">IF(H145="Cancelled",0,IF(R145&lt;&gt;"",R145,IF(Q145&lt;&gt;"",Q145,0)))</f>
        <v>0</v>
      </c>
      <c r="T145" s="45" t="str">
        <f aca="false">IF(S145=0,"",IF(SUM(AE145:AN145)=0,"⚠ nobody picked",COUNTIF(AE145:AN145,"&gt;0")&amp;" people"))</f>
        <v/>
      </c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60" t="n">
        <f aca="false">IF(OR($S145=0,Setup!$B$18=""),0,IF(OR($G145="",$G145="Everyone"),1,IF($G145="Custom",N(U145),IF(OR($G145=Setup!$B$18,AND(Setup!$C$18&lt;&gt;"",$G145=Setup!$C$18)),1,0))))</f>
        <v>0</v>
      </c>
      <c r="AF145" s="60" t="n">
        <f aca="false">IF(OR($S145=0,Setup!$B$19=""),0,IF(OR($G145="",$G145="Everyone"),1,IF($G145="Custom",N(V145),IF(OR($G145=Setup!$B$19,AND(Setup!$C$19&lt;&gt;"",$G145=Setup!$C$19)),1,0))))</f>
        <v>0</v>
      </c>
      <c r="AG145" s="60" t="n">
        <f aca="false">IF(OR($S145=0,Setup!$B$20=""),0,IF(OR($G145="",$G145="Everyone"),1,IF($G145="Custom",N(W145),IF(OR($G145=Setup!$B$20,AND(Setup!$C$20&lt;&gt;"",$G145=Setup!$C$20)),1,0))))</f>
        <v>0</v>
      </c>
      <c r="AH145" s="60" t="n">
        <f aca="false">IF(OR($S145=0,Setup!$B$21=""),0,IF(OR($G145="",$G145="Everyone"),1,IF($G145="Custom",N(X145),IF(OR($G145=Setup!$B$21,AND(Setup!$C$21&lt;&gt;"",$G145=Setup!$C$21)),1,0))))</f>
        <v>0</v>
      </c>
      <c r="AI145" s="60" t="n">
        <f aca="false">IF(OR($S145=0,Setup!$B$22=""),0,IF(OR($G145="",$G145="Everyone"),1,IF($G145="Custom",N(Y145),IF(OR($G145=Setup!$B$22,AND(Setup!$C$22&lt;&gt;"",$G145=Setup!$C$22)),1,0))))</f>
        <v>0</v>
      </c>
      <c r="AJ145" s="60" t="n">
        <f aca="false">IF(OR($S145=0,Setup!$B$23=""),0,IF(OR($G145="",$G145="Everyone"),1,IF($G145="Custom",N(Z145),IF(OR($G145=Setup!$B$23,AND(Setup!$C$23&lt;&gt;"",$G145=Setup!$C$23)),1,0))))</f>
        <v>0</v>
      </c>
      <c r="AK145" s="60" t="n">
        <f aca="false">IF(OR($S145=0,Setup!$B$24=""),0,IF(OR($G145="",$G145="Everyone"),1,IF($G145="Custom",N(AA145),IF(OR($G145=Setup!$B$24,AND(Setup!$C$24&lt;&gt;"",$G145=Setup!$C$24)),1,0))))</f>
        <v>0</v>
      </c>
      <c r="AL145" s="60" t="n">
        <f aca="false">IF(OR($S145=0,Setup!$B$25=""),0,IF(OR($G145="",$G145="Everyone"),1,IF($G145="Custom",N(AB145),IF(OR($G145=Setup!$B$25,AND(Setup!$C$25&lt;&gt;"",$G145=Setup!$C$25)),1,0))))</f>
        <v>0</v>
      </c>
      <c r="AM145" s="60" t="n">
        <f aca="false">IF(OR($S145=0,Setup!$B$26=""),0,IF(OR($G145="",$G145="Everyone"),1,IF($G145="Custom",N(AC145),IF(OR($G145=Setup!$B$26,AND(Setup!$C$26&lt;&gt;"",$G145=Setup!$C$26)),1,0))))</f>
        <v>0</v>
      </c>
      <c r="AN145" s="60" t="n">
        <f aca="false">IF(OR($S145=0,Setup!$B$27=""),0,IF(OR($G145="",$G145="Everyone"),1,IF($G145="Custom",N(AD145),IF(OR($G145=Setup!$B$27,AND(Setup!$C$27&lt;&gt;"",$G145=Setup!$C$27)),1,0))))</f>
        <v>0</v>
      </c>
      <c r="AO145" s="60" t="n">
        <f aca="false">IF(SUM(AE145:AN145)=0,1,SUM(AE145:AN145))</f>
        <v>1</v>
      </c>
      <c r="AP145" s="60" t="n">
        <f aca="false">IF(H145="Paid",1,0)</f>
        <v>0</v>
      </c>
      <c r="AQ145" s="60" t="n">
        <f aca="false">IF(AND(S145&gt;0,SUM(AE145:AN145)=0),S145,0)</f>
        <v>0</v>
      </c>
      <c r="AR145" s="60" t="str">
        <f aca="false">IF(AND(N145&lt;&gt;"",TodayDay&lt;&gt;"",N145=TodayDay),COUNTIF($N$6:N145,TodayDay),"")</f>
        <v/>
      </c>
      <c r="AS145" s="60" t="n">
        <f aca="false">IF(B145="",0,IF(COUNTIFS(Settings!$A$5:$A$29,B145,Settings!$B$5:$B$29,"Yes")&gt;0,1,0))</f>
        <v>0</v>
      </c>
      <c r="AT145" s="61" t="n">
        <f aca="false">IF(OR(N145="",TodayDay=""),IF(N145="",S145,0),IF(N145&lt;TodayDay,S145,0))</f>
        <v>0</v>
      </c>
    </row>
    <row r="146" customFormat="false" ht="15" hidden="false" customHeight="false" outlineLevel="0" collapsed="false">
      <c r="A146" s="23"/>
      <c r="B146" s="23"/>
      <c r="C146" s="23"/>
      <c r="D146" s="56"/>
      <c r="E146" s="23"/>
      <c r="F146" s="23"/>
      <c r="G146" s="23"/>
      <c r="H146" s="23"/>
      <c r="I146" s="56"/>
      <c r="J146" s="23"/>
      <c r="K146" s="28"/>
      <c r="L146" s="23"/>
      <c r="M146" s="23"/>
      <c r="N146" s="25" t="str">
        <f aca="false">IF(A146="","",IF(LEFT(A146,3)="Pre",0,IFERROR(VALUE(MID(A146,5,FIND(" ",A146&amp;" ",5)-5)),"")))</f>
        <v/>
      </c>
      <c r="O146" s="57" t="str">
        <f aca="false">IF(N146="","",IF(N146=0,"Before trip",IF(TripStart="","",TripStart+N146-1)))</f>
        <v/>
      </c>
      <c r="P146" s="58" t="str">
        <f aca="false">IF(AND(D146="",I146=""),"",IF(OR(E146="",E146=HomeCcy),1,IFERROR(INDEX(Setup!$J$26:$J$33,MATCH(E146,Setup!$G$26:$G$33,0)),IFERROR(INDEX(Settings!$S$5:$S$64,MATCH(E146,Settings!$R$5:$R$64,0))/HomeINR,1))))</f>
        <v/>
      </c>
      <c r="Q146" s="34" t="str">
        <f aca="false">IF(D146="","",D146*P146)</f>
        <v/>
      </c>
      <c r="R146" s="34" t="str">
        <f aca="false">IF(I146="","",I146*P146)</f>
        <v/>
      </c>
      <c r="S146" s="33" t="n">
        <f aca="false">IF(H146="Cancelled",0,IF(R146&lt;&gt;"",R146,IF(Q146&lt;&gt;"",Q146,0)))</f>
        <v>0</v>
      </c>
      <c r="T146" s="45" t="str">
        <f aca="false">IF(S146=0,"",IF(SUM(AE146:AN146)=0,"⚠ nobody picked",COUNTIF(AE146:AN146,"&gt;0")&amp;" people"))</f>
        <v/>
      </c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60" t="n">
        <f aca="false">IF(OR($S146=0,Setup!$B$18=""),0,IF(OR($G146="",$G146="Everyone"),1,IF($G146="Custom",N(U146),IF(OR($G146=Setup!$B$18,AND(Setup!$C$18&lt;&gt;"",$G146=Setup!$C$18)),1,0))))</f>
        <v>0</v>
      </c>
      <c r="AF146" s="60" t="n">
        <f aca="false">IF(OR($S146=0,Setup!$B$19=""),0,IF(OR($G146="",$G146="Everyone"),1,IF($G146="Custom",N(V146),IF(OR($G146=Setup!$B$19,AND(Setup!$C$19&lt;&gt;"",$G146=Setup!$C$19)),1,0))))</f>
        <v>0</v>
      </c>
      <c r="AG146" s="60" t="n">
        <f aca="false">IF(OR($S146=0,Setup!$B$20=""),0,IF(OR($G146="",$G146="Everyone"),1,IF($G146="Custom",N(W146),IF(OR($G146=Setup!$B$20,AND(Setup!$C$20&lt;&gt;"",$G146=Setup!$C$20)),1,0))))</f>
        <v>0</v>
      </c>
      <c r="AH146" s="60" t="n">
        <f aca="false">IF(OR($S146=0,Setup!$B$21=""),0,IF(OR($G146="",$G146="Everyone"),1,IF($G146="Custom",N(X146),IF(OR($G146=Setup!$B$21,AND(Setup!$C$21&lt;&gt;"",$G146=Setup!$C$21)),1,0))))</f>
        <v>0</v>
      </c>
      <c r="AI146" s="60" t="n">
        <f aca="false">IF(OR($S146=0,Setup!$B$22=""),0,IF(OR($G146="",$G146="Everyone"),1,IF($G146="Custom",N(Y146),IF(OR($G146=Setup!$B$22,AND(Setup!$C$22&lt;&gt;"",$G146=Setup!$C$22)),1,0))))</f>
        <v>0</v>
      </c>
      <c r="AJ146" s="60" t="n">
        <f aca="false">IF(OR($S146=0,Setup!$B$23=""),0,IF(OR($G146="",$G146="Everyone"),1,IF($G146="Custom",N(Z146),IF(OR($G146=Setup!$B$23,AND(Setup!$C$23&lt;&gt;"",$G146=Setup!$C$23)),1,0))))</f>
        <v>0</v>
      </c>
      <c r="AK146" s="60" t="n">
        <f aca="false">IF(OR($S146=0,Setup!$B$24=""),0,IF(OR($G146="",$G146="Everyone"),1,IF($G146="Custom",N(AA146),IF(OR($G146=Setup!$B$24,AND(Setup!$C$24&lt;&gt;"",$G146=Setup!$C$24)),1,0))))</f>
        <v>0</v>
      </c>
      <c r="AL146" s="60" t="n">
        <f aca="false">IF(OR($S146=0,Setup!$B$25=""),0,IF(OR($G146="",$G146="Everyone"),1,IF($G146="Custom",N(AB146),IF(OR($G146=Setup!$B$25,AND(Setup!$C$25&lt;&gt;"",$G146=Setup!$C$25)),1,0))))</f>
        <v>0</v>
      </c>
      <c r="AM146" s="60" t="n">
        <f aca="false">IF(OR($S146=0,Setup!$B$26=""),0,IF(OR($G146="",$G146="Everyone"),1,IF($G146="Custom",N(AC146),IF(OR($G146=Setup!$B$26,AND(Setup!$C$26&lt;&gt;"",$G146=Setup!$C$26)),1,0))))</f>
        <v>0</v>
      </c>
      <c r="AN146" s="60" t="n">
        <f aca="false">IF(OR($S146=0,Setup!$B$27=""),0,IF(OR($G146="",$G146="Everyone"),1,IF($G146="Custom",N(AD146),IF(OR($G146=Setup!$B$27,AND(Setup!$C$27&lt;&gt;"",$G146=Setup!$C$27)),1,0))))</f>
        <v>0</v>
      </c>
      <c r="AO146" s="60" t="n">
        <f aca="false">IF(SUM(AE146:AN146)=0,1,SUM(AE146:AN146))</f>
        <v>1</v>
      </c>
      <c r="AP146" s="60" t="n">
        <f aca="false">IF(H146="Paid",1,0)</f>
        <v>0</v>
      </c>
      <c r="AQ146" s="60" t="n">
        <f aca="false">IF(AND(S146&gt;0,SUM(AE146:AN146)=0),S146,0)</f>
        <v>0</v>
      </c>
      <c r="AR146" s="60" t="str">
        <f aca="false">IF(AND(N146&lt;&gt;"",TodayDay&lt;&gt;"",N146=TodayDay),COUNTIF($N$6:N146,TodayDay),"")</f>
        <v/>
      </c>
      <c r="AS146" s="60" t="n">
        <f aca="false">IF(B146="",0,IF(COUNTIFS(Settings!$A$5:$A$29,B146,Settings!$B$5:$B$29,"Yes")&gt;0,1,0))</f>
        <v>0</v>
      </c>
      <c r="AT146" s="61" t="n">
        <f aca="false">IF(OR(N146="",TodayDay=""),IF(N146="",S146,0),IF(N146&lt;TodayDay,S146,0))</f>
        <v>0</v>
      </c>
    </row>
    <row r="147" customFormat="false" ht="15" hidden="false" customHeight="false" outlineLevel="0" collapsed="false">
      <c r="A147" s="23"/>
      <c r="B147" s="23"/>
      <c r="C147" s="23"/>
      <c r="D147" s="56"/>
      <c r="E147" s="23"/>
      <c r="F147" s="23"/>
      <c r="G147" s="23"/>
      <c r="H147" s="23"/>
      <c r="I147" s="56"/>
      <c r="J147" s="23"/>
      <c r="K147" s="28"/>
      <c r="L147" s="23"/>
      <c r="M147" s="23"/>
      <c r="N147" s="25" t="str">
        <f aca="false">IF(A147="","",IF(LEFT(A147,3)="Pre",0,IFERROR(VALUE(MID(A147,5,FIND(" ",A147&amp;" ",5)-5)),"")))</f>
        <v/>
      </c>
      <c r="O147" s="57" t="str">
        <f aca="false">IF(N147="","",IF(N147=0,"Before trip",IF(TripStart="","",TripStart+N147-1)))</f>
        <v/>
      </c>
      <c r="P147" s="58" t="str">
        <f aca="false">IF(AND(D147="",I147=""),"",IF(OR(E147="",E147=HomeCcy),1,IFERROR(INDEX(Setup!$J$26:$J$33,MATCH(E147,Setup!$G$26:$G$33,0)),IFERROR(INDEX(Settings!$S$5:$S$64,MATCH(E147,Settings!$R$5:$R$64,0))/HomeINR,1))))</f>
        <v/>
      </c>
      <c r="Q147" s="34" t="str">
        <f aca="false">IF(D147="","",D147*P147)</f>
        <v/>
      </c>
      <c r="R147" s="34" t="str">
        <f aca="false">IF(I147="","",I147*P147)</f>
        <v/>
      </c>
      <c r="S147" s="33" t="n">
        <f aca="false">IF(H147="Cancelled",0,IF(R147&lt;&gt;"",R147,IF(Q147&lt;&gt;"",Q147,0)))</f>
        <v>0</v>
      </c>
      <c r="T147" s="45" t="str">
        <f aca="false">IF(S147=0,"",IF(SUM(AE147:AN147)=0,"⚠ nobody picked",COUNTIF(AE147:AN147,"&gt;0")&amp;" people"))</f>
        <v/>
      </c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60" t="n">
        <f aca="false">IF(OR($S147=0,Setup!$B$18=""),0,IF(OR($G147="",$G147="Everyone"),1,IF($G147="Custom",N(U147),IF(OR($G147=Setup!$B$18,AND(Setup!$C$18&lt;&gt;"",$G147=Setup!$C$18)),1,0))))</f>
        <v>0</v>
      </c>
      <c r="AF147" s="60" t="n">
        <f aca="false">IF(OR($S147=0,Setup!$B$19=""),0,IF(OR($G147="",$G147="Everyone"),1,IF($G147="Custom",N(V147),IF(OR($G147=Setup!$B$19,AND(Setup!$C$19&lt;&gt;"",$G147=Setup!$C$19)),1,0))))</f>
        <v>0</v>
      </c>
      <c r="AG147" s="60" t="n">
        <f aca="false">IF(OR($S147=0,Setup!$B$20=""),0,IF(OR($G147="",$G147="Everyone"),1,IF($G147="Custom",N(W147),IF(OR($G147=Setup!$B$20,AND(Setup!$C$20&lt;&gt;"",$G147=Setup!$C$20)),1,0))))</f>
        <v>0</v>
      </c>
      <c r="AH147" s="60" t="n">
        <f aca="false">IF(OR($S147=0,Setup!$B$21=""),0,IF(OR($G147="",$G147="Everyone"),1,IF($G147="Custom",N(X147),IF(OR($G147=Setup!$B$21,AND(Setup!$C$21&lt;&gt;"",$G147=Setup!$C$21)),1,0))))</f>
        <v>0</v>
      </c>
      <c r="AI147" s="60" t="n">
        <f aca="false">IF(OR($S147=0,Setup!$B$22=""),0,IF(OR($G147="",$G147="Everyone"),1,IF($G147="Custom",N(Y147),IF(OR($G147=Setup!$B$22,AND(Setup!$C$22&lt;&gt;"",$G147=Setup!$C$22)),1,0))))</f>
        <v>0</v>
      </c>
      <c r="AJ147" s="60" t="n">
        <f aca="false">IF(OR($S147=0,Setup!$B$23=""),0,IF(OR($G147="",$G147="Everyone"),1,IF($G147="Custom",N(Z147),IF(OR($G147=Setup!$B$23,AND(Setup!$C$23&lt;&gt;"",$G147=Setup!$C$23)),1,0))))</f>
        <v>0</v>
      </c>
      <c r="AK147" s="60" t="n">
        <f aca="false">IF(OR($S147=0,Setup!$B$24=""),0,IF(OR($G147="",$G147="Everyone"),1,IF($G147="Custom",N(AA147),IF(OR($G147=Setup!$B$24,AND(Setup!$C$24&lt;&gt;"",$G147=Setup!$C$24)),1,0))))</f>
        <v>0</v>
      </c>
      <c r="AL147" s="60" t="n">
        <f aca="false">IF(OR($S147=0,Setup!$B$25=""),0,IF(OR($G147="",$G147="Everyone"),1,IF($G147="Custom",N(AB147),IF(OR($G147=Setup!$B$25,AND(Setup!$C$25&lt;&gt;"",$G147=Setup!$C$25)),1,0))))</f>
        <v>0</v>
      </c>
      <c r="AM147" s="60" t="n">
        <f aca="false">IF(OR($S147=0,Setup!$B$26=""),0,IF(OR($G147="",$G147="Everyone"),1,IF($G147="Custom",N(AC147),IF(OR($G147=Setup!$B$26,AND(Setup!$C$26&lt;&gt;"",$G147=Setup!$C$26)),1,0))))</f>
        <v>0</v>
      </c>
      <c r="AN147" s="60" t="n">
        <f aca="false">IF(OR($S147=0,Setup!$B$27=""),0,IF(OR($G147="",$G147="Everyone"),1,IF($G147="Custom",N(AD147),IF(OR($G147=Setup!$B$27,AND(Setup!$C$27&lt;&gt;"",$G147=Setup!$C$27)),1,0))))</f>
        <v>0</v>
      </c>
      <c r="AO147" s="60" t="n">
        <f aca="false">IF(SUM(AE147:AN147)=0,1,SUM(AE147:AN147))</f>
        <v>1</v>
      </c>
      <c r="AP147" s="60" t="n">
        <f aca="false">IF(H147="Paid",1,0)</f>
        <v>0</v>
      </c>
      <c r="AQ147" s="60" t="n">
        <f aca="false">IF(AND(S147&gt;0,SUM(AE147:AN147)=0),S147,0)</f>
        <v>0</v>
      </c>
      <c r="AR147" s="60" t="str">
        <f aca="false">IF(AND(N147&lt;&gt;"",TodayDay&lt;&gt;"",N147=TodayDay),COUNTIF($N$6:N147,TodayDay),"")</f>
        <v/>
      </c>
      <c r="AS147" s="60" t="n">
        <f aca="false">IF(B147="",0,IF(COUNTIFS(Settings!$A$5:$A$29,B147,Settings!$B$5:$B$29,"Yes")&gt;0,1,0))</f>
        <v>0</v>
      </c>
      <c r="AT147" s="61" t="n">
        <f aca="false">IF(OR(N147="",TodayDay=""),IF(N147="",S147,0),IF(N147&lt;TodayDay,S147,0))</f>
        <v>0</v>
      </c>
    </row>
    <row r="148" customFormat="false" ht="15" hidden="false" customHeight="false" outlineLevel="0" collapsed="false">
      <c r="A148" s="23"/>
      <c r="B148" s="23"/>
      <c r="C148" s="23"/>
      <c r="D148" s="56"/>
      <c r="E148" s="23"/>
      <c r="F148" s="23"/>
      <c r="G148" s="23"/>
      <c r="H148" s="23"/>
      <c r="I148" s="56"/>
      <c r="J148" s="23"/>
      <c r="K148" s="28"/>
      <c r="L148" s="23"/>
      <c r="M148" s="23"/>
      <c r="N148" s="25" t="str">
        <f aca="false">IF(A148="","",IF(LEFT(A148,3)="Pre",0,IFERROR(VALUE(MID(A148,5,FIND(" ",A148&amp;" ",5)-5)),"")))</f>
        <v/>
      </c>
      <c r="O148" s="57" t="str">
        <f aca="false">IF(N148="","",IF(N148=0,"Before trip",IF(TripStart="","",TripStart+N148-1)))</f>
        <v/>
      </c>
      <c r="P148" s="58" t="str">
        <f aca="false">IF(AND(D148="",I148=""),"",IF(OR(E148="",E148=HomeCcy),1,IFERROR(INDEX(Setup!$J$26:$J$33,MATCH(E148,Setup!$G$26:$G$33,0)),IFERROR(INDEX(Settings!$S$5:$S$64,MATCH(E148,Settings!$R$5:$R$64,0))/HomeINR,1))))</f>
        <v/>
      </c>
      <c r="Q148" s="34" t="str">
        <f aca="false">IF(D148="","",D148*P148)</f>
        <v/>
      </c>
      <c r="R148" s="34" t="str">
        <f aca="false">IF(I148="","",I148*P148)</f>
        <v/>
      </c>
      <c r="S148" s="33" t="n">
        <f aca="false">IF(H148="Cancelled",0,IF(R148&lt;&gt;"",R148,IF(Q148&lt;&gt;"",Q148,0)))</f>
        <v>0</v>
      </c>
      <c r="T148" s="45" t="str">
        <f aca="false">IF(S148=0,"",IF(SUM(AE148:AN148)=0,"⚠ nobody picked",COUNTIF(AE148:AN148,"&gt;0")&amp;" people"))</f>
        <v/>
      </c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60" t="n">
        <f aca="false">IF(OR($S148=0,Setup!$B$18=""),0,IF(OR($G148="",$G148="Everyone"),1,IF($G148="Custom",N(U148),IF(OR($G148=Setup!$B$18,AND(Setup!$C$18&lt;&gt;"",$G148=Setup!$C$18)),1,0))))</f>
        <v>0</v>
      </c>
      <c r="AF148" s="60" t="n">
        <f aca="false">IF(OR($S148=0,Setup!$B$19=""),0,IF(OR($G148="",$G148="Everyone"),1,IF($G148="Custom",N(V148),IF(OR($G148=Setup!$B$19,AND(Setup!$C$19&lt;&gt;"",$G148=Setup!$C$19)),1,0))))</f>
        <v>0</v>
      </c>
      <c r="AG148" s="60" t="n">
        <f aca="false">IF(OR($S148=0,Setup!$B$20=""),0,IF(OR($G148="",$G148="Everyone"),1,IF($G148="Custom",N(W148),IF(OR($G148=Setup!$B$20,AND(Setup!$C$20&lt;&gt;"",$G148=Setup!$C$20)),1,0))))</f>
        <v>0</v>
      </c>
      <c r="AH148" s="60" t="n">
        <f aca="false">IF(OR($S148=0,Setup!$B$21=""),0,IF(OR($G148="",$G148="Everyone"),1,IF($G148="Custom",N(X148),IF(OR($G148=Setup!$B$21,AND(Setup!$C$21&lt;&gt;"",$G148=Setup!$C$21)),1,0))))</f>
        <v>0</v>
      </c>
      <c r="AI148" s="60" t="n">
        <f aca="false">IF(OR($S148=0,Setup!$B$22=""),0,IF(OR($G148="",$G148="Everyone"),1,IF($G148="Custom",N(Y148),IF(OR($G148=Setup!$B$22,AND(Setup!$C$22&lt;&gt;"",$G148=Setup!$C$22)),1,0))))</f>
        <v>0</v>
      </c>
      <c r="AJ148" s="60" t="n">
        <f aca="false">IF(OR($S148=0,Setup!$B$23=""),0,IF(OR($G148="",$G148="Everyone"),1,IF($G148="Custom",N(Z148),IF(OR($G148=Setup!$B$23,AND(Setup!$C$23&lt;&gt;"",$G148=Setup!$C$23)),1,0))))</f>
        <v>0</v>
      </c>
      <c r="AK148" s="60" t="n">
        <f aca="false">IF(OR($S148=0,Setup!$B$24=""),0,IF(OR($G148="",$G148="Everyone"),1,IF($G148="Custom",N(AA148),IF(OR($G148=Setup!$B$24,AND(Setup!$C$24&lt;&gt;"",$G148=Setup!$C$24)),1,0))))</f>
        <v>0</v>
      </c>
      <c r="AL148" s="60" t="n">
        <f aca="false">IF(OR($S148=0,Setup!$B$25=""),0,IF(OR($G148="",$G148="Everyone"),1,IF($G148="Custom",N(AB148),IF(OR($G148=Setup!$B$25,AND(Setup!$C$25&lt;&gt;"",$G148=Setup!$C$25)),1,0))))</f>
        <v>0</v>
      </c>
      <c r="AM148" s="60" t="n">
        <f aca="false">IF(OR($S148=0,Setup!$B$26=""),0,IF(OR($G148="",$G148="Everyone"),1,IF($G148="Custom",N(AC148),IF(OR($G148=Setup!$B$26,AND(Setup!$C$26&lt;&gt;"",$G148=Setup!$C$26)),1,0))))</f>
        <v>0</v>
      </c>
      <c r="AN148" s="60" t="n">
        <f aca="false">IF(OR($S148=0,Setup!$B$27=""),0,IF(OR($G148="",$G148="Everyone"),1,IF($G148="Custom",N(AD148),IF(OR($G148=Setup!$B$27,AND(Setup!$C$27&lt;&gt;"",$G148=Setup!$C$27)),1,0))))</f>
        <v>0</v>
      </c>
      <c r="AO148" s="60" t="n">
        <f aca="false">IF(SUM(AE148:AN148)=0,1,SUM(AE148:AN148))</f>
        <v>1</v>
      </c>
      <c r="AP148" s="60" t="n">
        <f aca="false">IF(H148="Paid",1,0)</f>
        <v>0</v>
      </c>
      <c r="AQ148" s="60" t="n">
        <f aca="false">IF(AND(S148&gt;0,SUM(AE148:AN148)=0),S148,0)</f>
        <v>0</v>
      </c>
      <c r="AR148" s="60" t="str">
        <f aca="false">IF(AND(N148&lt;&gt;"",TodayDay&lt;&gt;"",N148=TodayDay),COUNTIF($N$6:N148,TodayDay),"")</f>
        <v/>
      </c>
      <c r="AS148" s="60" t="n">
        <f aca="false">IF(B148="",0,IF(COUNTIFS(Settings!$A$5:$A$29,B148,Settings!$B$5:$B$29,"Yes")&gt;0,1,0))</f>
        <v>0</v>
      </c>
      <c r="AT148" s="61" t="n">
        <f aca="false">IF(OR(N148="",TodayDay=""),IF(N148="",S148,0),IF(N148&lt;TodayDay,S148,0))</f>
        <v>0</v>
      </c>
    </row>
    <row r="149" customFormat="false" ht="15" hidden="false" customHeight="false" outlineLevel="0" collapsed="false">
      <c r="A149" s="23"/>
      <c r="B149" s="23"/>
      <c r="C149" s="23"/>
      <c r="D149" s="56"/>
      <c r="E149" s="23"/>
      <c r="F149" s="23"/>
      <c r="G149" s="23"/>
      <c r="H149" s="23"/>
      <c r="I149" s="56"/>
      <c r="J149" s="23"/>
      <c r="K149" s="28"/>
      <c r="L149" s="23"/>
      <c r="M149" s="23"/>
      <c r="N149" s="25" t="str">
        <f aca="false">IF(A149="","",IF(LEFT(A149,3)="Pre",0,IFERROR(VALUE(MID(A149,5,FIND(" ",A149&amp;" ",5)-5)),"")))</f>
        <v/>
      </c>
      <c r="O149" s="57" t="str">
        <f aca="false">IF(N149="","",IF(N149=0,"Before trip",IF(TripStart="","",TripStart+N149-1)))</f>
        <v/>
      </c>
      <c r="P149" s="58" t="str">
        <f aca="false">IF(AND(D149="",I149=""),"",IF(OR(E149="",E149=HomeCcy),1,IFERROR(INDEX(Setup!$J$26:$J$33,MATCH(E149,Setup!$G$26:$G$33,0)),IFERROR(INDEX(Settings!$S$5:$S$64,MATCH(E149,Settings!$R$5:$R$64,0))/HomeINR,1))))</f>
        <v/>
      </c>
      <c r="Q149" s="34" t="str">
        <f aca="false">IF(D149="","",D149*P149)</f>
        <v/>
      </c>
      <c r="R149" s="34" t="str">
        <f aca="false">IF(I149="","",I149*P149)</f>
        <v/>
      </c>
      <c r="S149" s="33" t="n">
        <f aca="false">IF(H149="Cancelled",0,IF(R149&lt;&gt;"",R149,IF(Q149&lt;&gt;"",Q149,0)))</f>
        <v>0</v>
      </c>
      <c r="T149" s="45" t="str">
        <f aca="false">IF(S149=0,"",IF(SUM(AE149:AN149)=0,"⚠ nobody picked",COUNTIF(AE149:AN149,"&gt;0")&amp;" people"))</f>
        <v/>
      </c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60" t="n">
        <f aca="false">IF(OR($S149=0,Setup!$B$18=""),0,IF(OR($G149="",$G149="Everyone"),1,IF($G149="Custom",N(U149),IF(OR($G149=Setup!$B$18,AND(Setup!$C$18&lt;&gt;"",$G149=Setup!$C$18)),1,0))))</f>
        <v>0</v>
      </c>
      <c r="AF149" s="60" t="n">
        <f aca="false">IF(OR($S149=0,Setup!$B$19=""),0,IF(OR($G149="",$G149="Everyone"),1,IF($G149="Custom",N(V149),IF(OR($G149=Setup!$B$19,AND(Setup!$C$19&lt;&gt;"",$G149=Setup!$C$19)),1,0))))</f>
        <v>0</v>
      </c>
      <c r="AG149" s="60" t="n">
        <f aca="false">IF(OR($S149=0,Setup!$B$20=""),0,IF(OR($G149="",$G149="Everyone"),1,IF($G149="Custom",N(W149),IF(OR($G149=Setup!$B$20,AND(Setup!$C$20&lt;&gt;"",$G149=Setup!$C$20)),1,0))))</f>
        <v>0</v>
      </c>
      <c r="AH149" s="60" t="n">
        <f aca="false">IF(OR($S149=0,Setup!$B$21=""),0,IF(OR($G149="",$G149="Everyone"),1,IF($G149="Custom",N(X149),IF(OR($G149=Setup!$B$21,AND(Setup!$C$21&lt;&gt;"",$G149=Setup!$C$21)),1,0))))</f>
        <v>0</v>
      </c>
      <c r="AI149" s="60" t="n">
        <f aca="false">IF(OR($S149=0,Setup!$B$22=""),0,IF(OR($G149="",$G149="Everyone"),1,IF($G149="Custom",N(Y149),IF(OR($G149=Setup!$B$22,AND(Setup!$C$22&lt;&gt;"",$G149=Setup!$C$22)),1,0))))</f>
        <v>0</v>
      </c>
      <c r="AJ149" s="60" t="n">
        <f aca="false">IF(OR($S149=0,Setup!$B$23=""),0,IF(OR($G149="",$G149="Everyone"),1,IF($G149="Custom",N(Z149),IF(OR($G149=Setup!$B$23,AND(Setup!$C$23&lt;&gt;"",$G149=Setup!$C$23)),1,0))))</f>
        <v>0</v>
      </c>
      <c r="AK149" s="60" t="n">
        <f aca="false">IF(OR($S149=0,Setup!$B$24=""),0,IF(OR($G149="",$G149="Everyone"),1,IF($G149="Custom",N(AA149),IF(OR($G149=Setup!$B$24,AND(Setup!$C$24&lt;&gt;"",$G149=Setup!$C$24)),1,0))))</f>
        <v>0</v>
      </c>
      <c r="AL149" s="60" t="n">
        <f aca="false">IF(OR($S149=0,Setup!$B$25=""),0,IF(OR($G149="",$G149="Everyone"),1,IF($G149="Custom",N(AB149),IF(OR($G149=Setup!$B$25,AND(Setup!$C$25&lt;&gt;"",$G149=Setup!$C$25)),1,0))))</f>
        <v>0</v>
      </c>
      <c r="AM149" s="60" t="n">
        <f aca="false">IF(OR($S149=0,Setup!$B$26=""),0,IF(OR($G149="",$G149="Everyone"),1,IF($G149="Custom",N(AC149),IF(OR($G149=Setup!$B$26,AND(Setup!$C$26&lt;&gt;"",$G149=Setup!$C$26)),1,0))))</f>
        <v>0</v>
      </c>
      <c r="AN149" s="60" t="n">
        <f aca="false">IF(OR($S149=0,Setup!$B$27=""),0,IF(OR($G149="",$G149="Everyone"),1,IF($G149="Custom",N(AD149),IF(OR($G149=Setup!$B$27,AND(Setup!$C$27&lt;&gt;"",$G149=Setup!$C$27)),1,0))))</f>
        <v>0</v>
      </c>
      <c r="AO149" s="60" t="n">
        <f aca="false">IF(SUM(AE149:AN149)=0,1,SUM(AE149:AN149))</f>
        <v>1</v>
      </c>
      <c r="AP149" s="60" t="n">
        <f aca="false">IF(H149="Paid",1,0)</f>
        <v>0</v>
      </c>
      <c r="AQ149" s="60" t="n">
        <f aca="false">IF(AND(S149&gt;0,SUM(AE149:AN149)=0),S149,0)</f>
        <v>0</v>
      </c>
      <c r="AR149" s="60" t="str">
        <f aca="false">IF(AND(N149&lt;&gt;"",TodayDay&lt;&gt;"",N149=TodayDay),COUNTIF($N$6:N149,TodayDay),"")</f>
        <v/>
      </c>
      <c r="AS149" s="60" t="n">
        <f aca="false">IF(B149="",0,IF(COUNTIFS(Settings!$A$5:$A$29,B149,Settings!$B$5:$B$29,"Yes")&gt;0,1,0))</f>
        <v>0</v>
      </c>
      <c r="AT149" s="61" t="n">
        <f aca="false">IF(OR(N149="",TodayDay=""),IF(N149="",S149,0),IF(N149&lt;TodayDay,S149,0))</f>
        <v>0</v>
      </c>
    </row>
    <row r="150" customFormat="false" ht="15" hidden="false" customHeight="false" outlineLevel="0" collapsed="false">
      <c r="A150" s="23"/>
      <c r="B150" s="23"/>
      <c r="C150" s="23"/>
      <c r="D150" s="56"/>
      <c r="E150" s="23"/>
      <c r="F150" s="23"/>
      <c r="G150" s="23"/>
      <c r="H150" s="23"/>
      <c r="I150" s="56"/>
      <c r="J150" s="23"/>
      <c r="K150" s="28"/>
      <c r="L150" s="23"/>
      <c r="M150" s="23"/>
      <c r="N150" s="25" t="str">
        <f aca="false">IF(A150="","",IF(LEFT(A150,3)="Pre",0,IFERROR(VALUE(MID(A150,5,FIND(" ",A150&amp;" ",5)-5)),"")))</f>
        <v/>
      </c>
      <c r="O150" s="57" t="str">
        <f aca="false">IF(N150="","",IF(N150=0,"Before trip",IF(TripStart="","",TripStart+N150-1)))</f>
        <v/>
      </c>
      <c r="P150" s="58" t="str">
        <f aca="false">IF(AND(D150="",I150=""),"",IF(OR(E150="",E150=HomeCcy),1,IFERROR(INDEX(Setup!$J$26:$J$33,MATCH(E150,Setup!$G$26:$G$33,0)),IFERROR(INDEX(Settings!$S$5:$S$64,MATCH(E150,Settings!$R$5:$R$64,0))/HomeINR,1))))</f>
        <v/>
      </c>
      <c r="Q150" s="34" t="str">
        <f aca="false">IF(D150="","",D150*P150)</f>
        <v/>
      </c>
      <c r="R150" s="34" t="str">
        <f aca="false">IF(I150="","",I150*P150)</f>
        <v/>
      </c>
      <c r="S150" s="33" t="n">
        <f aca="false">IF(H150="Cancelled",0,IF(R150&lt;&gt;"",R150,IF(Q150&lt;&gt;"",Q150,0)))</f>
        <v>0</v>
      </c>
      <c r="T150" s="45" t="str">
        <f aca="false">IF(S150=0,"",IF(SUM(AE150:AN150)=0,"⚠ nobody picked",COUNTIF(AE150:AN150,"&gt;0")&amp;" people"))</f>
        <v/>
      </c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60" t="n">
        <f aca="false">IF(OR($S150=0,Setup!$B$18=""),0,IF(OR($G150="",$G150="Everyone"),1,IF($G150="Custom",N(U150),IF(OR($G150=Setup!$B$18,AND(Setup!$C$18&lt;&gt;"",$G150=Setup!$C$18)),1,0))))</f>
        <v>0</v>
      </c>
      <c r="AF150" s="60" t="n">
        <f aca="false">IF(OR($S150=0,Setup!$B$19=""),0,IF(OR($G150="",$G150="Everyone"),1,IF($G150="Custom",N(V150),IF(OR($G150=Setup!$B$19,AND(Setup!$C$19&lt;&gt;"",$G150=Setup!$C$19)),1,0))))</f>
        <v>0</v>
      </c>
      <c r="AG150" s="60" t="n">
        <f aca="false">IF(OR($S150=0,Setup!$B$20=""),0,IF(OR($G150="",$G150="Everyone"),1,IF($G150="Custom",N(W150),IF(OR($G150=Setup!$B$20,AND(Setup!$C$20&lt;&gt;"",$G150=Setup!$C$20)),1,0))))</f>
        <v>0</v>
      </c>
      <c r="AH150" s="60" t="n">
        <f aca="false">IF(OR($S150=0,Setup!$B$21=""),0,IF(OR($G150="",$G150="Everyone"),1,IF($G150="Custom",N(X150),IF(OR($G150=Setup!$B$21,AND(Setup!$C$21&lt;&gt;"",$G150=Setup!$C$21)),1,0))))</f>
        <v>0</v>
      </c>
      <c r="AI150" s="60" t="n">
        <f aca="false">IF(OR($S150=0,Setup!$B$22=""),0,IF(OR($G150="",$G150="Everyone"),1,IF($G150="Custom",N(Y150),IF(OR($G150=Setup!$B$22,AND(Setup!$C$22&lt;&gt;"",$G150=Setup!$C$22)),1,0))))</f>
        <v>0</v>
      </c>
      <c r="AJ150" s="60" t="n">
        <f aca="false">IF(OR($S150=0,Setup!$B$23=""),0,IF(OR($G150="",$G150="Everyone"),1,IF($G150="Custom",N(Z150),IF(OR($G150=Setup!$B$23,AND(Setup!$C$23&lt;&gt;"",$G150=Setup!$C$23)),1,0))))</f>
        <v>0</v>
      </c>
      <c r="AK150" s="60" t="n">
        <f aca="false">IF(OR($S150=0,Setup!$B$24=""),0,IF(OR($G150="",$G150="Everyone"),1,IF($G150="Custom",N(AA150),IF(OR($G150=Setup!$B$24,AND(Setup!$C$24&lt;&gt;"",$G150=Setup!$C$24)),1,0))))</f>
        <v>0</v>
      </c>
      <c r="AL150" s="60" t="n">
        <f aca="false">IF(OR($S150=0,Setup!$B$25=""),0,IF(OR($G150="",$G150="Everyone"),1,IF($G150="Custom",N(AB150),IF(OR($G150=Setup!$B$25,AND(Setup!$C$25&lt;&gt;"",$G150=Setup!$C$25)),1,0))))</f>
        <v>0</v>
      </c>
      <c r="AM150" s="60" t="n">
        <f aca="false">IF(OR($S150=0,Setup!$B$26=""),0,IF(OR($G150="",$G150="Everyone"),1,IF($G150="Custom",N(AC150),IF(OR($G150=Setup!$B$26,AND(Setup!$C$26&lt;&gt;"",$G150=Setup!$C$26)),1,0))))</f>
        <v>0</v>
      </c>
      <c r="AN150" s="60" t="n">
        <f aca="false">IF(OR($S150=0,Setup!$B$27=""),0,IF(OR($G150="",$G150="Everyone"),1,IF($G150="Custom",N(AD150),IF(OR($G150=Setup!$B$27,AND(Setup!$C$27&lt;&gt;"",$G150=Setup!$C$27)),1,0))))</f>
        <v>0</v>
      </c>
      <c r="AO150" s="60" t="n">
        <f aca="false">IF(SUM(AE150:AN150)=0,1,SUM(AE150:AN150))</f>
        <v>1</v>
      </c>
      <c r="AP150" s="60" t="n">
        <f aca="false">IF(H150="Paid",1,0)</f>
        <v>0</v>
      </c>
      <c r="AQ150" s="60" t="n">
        <f aca="false">IF(AND(S150&gt;0,SUM(AE150:AN150)=0),S150,0)</f>
        <v>0</v>
      </c>
      <c r="AR150" s="60" t="str">
        <f aca="false">IF(AND(N150&lt;&gt;"",TodayDay&lt;&gt;"",N150=TodayDay),COUNTIF($N$6:N150,TodayDay),"")</f>
        <v/>
      </c>
      <c r="AS150" s="60" t="n">
        <f aca="false">IF(B150="",0,IF(COUNTIFS(Settings!$A$5:$A$29,B150,Settings!$B$5:$B$29,"Yes")&gt;0,1,0))</f>
        <v>0</v>
      </c>
      <c r="AT150" s="61" t="n">
        <f aca="false">IF(OR(N150="",TodayDay=""),IF(N150="",S150,0),IF(N150&lt;TodayDay,S150,0))</f>
        <v>0</v>
      </c>
    </row>
    <row r="151" customFormat="false" ht="15" hidden="false" customHeight="false" outlineLevel="0" collapsed="false">
      <c r="A151" s="23"/>
      <c r="B151" s="23"/>
      <c r="C151" s="23"/>
      <c r="D151" s="56"/>
      <c r="E151" s="23"/>
      <c r="F151" s="23"/>
      <c r="G151" s="23"/>
      <c r="H151" s="23"/>
      <c r="I151" s="56"/>
      <c r="J151" s="23"/>
      <c r="K151" s="28"/>
      <c r="L151" s="23"/>
      <c r="M151" s="23"/>
      <c r="N151" s="25" t="str">
        <f aca="false">IF(A151="","",IF(LEFT(A151,3)="Pre",0,IFERROR(VALUE(MID(A151,5,FIND(" ",A151&amp;" ",5)-5)),"")))</f>
        <v/>
      </c>
      <c r="O151" s="57" t="str">
        <f aca="false">IF(N151="","",IF(N151=0,"Before trip",IF(TripStart="","",TripStart+N151-1)))</f>
        <v/>
      </c>
      <c r="P151" s="58" t="str">
        <f aca="false">IF(AND(D151="",I151=""),"",IF(OR(E151="",E151=HomeCcy),1,IFERROR(INDEX(Setup!$J$26:$J$33,MATCH(E151,Setup!$G$26:$G$33,0)),IFERROR(INDEX(Settings!$S$5:$S$64,MATCH(E151,Settings!$R$5:$R$64,0))/HomeINR,1))))</f>
        <v/>
      </c>
      <c r="Q151" s="34" t="str">
        <f aca="false">IF(D151="","",D151*P151)</f>
        <v/>
      </c>
      <c r="R151" s="34" t="str">
        <f aca="false">IF(I151="","",I151*P151)</f>
        <v/>
      </c>
      <c r="S151" s="33" t="n">
        <f aca="false">IF(H151="Cancelled",0,IF(R151&lt;&gt;"",R151,IF(Q151&lt;&gt;"",Q151,0)))</f>
        <v>0</v>
      </c>
      <c r="T151" s="45" t="str">
        <f aca="false">IF(S151=0,"",IF(SUM(AE151:AN151)=0,"⚠ nobody picked",COUNTIF(AE151:AN151,"&gt;0")&amp;" people"))</f>
        <v/>
      </c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60" t="n">
        <f aca="false">IF(OR($S151=0,Setup!$B$18=""),0,IF(OR($G151="",$G151="Everyone"),1,IF($G151="Custom",N(U151),IF(OR($G151=Setup!$B$18,AND(Setup!$C$18&lt;&gt;"",$G151=Setup!$C$18)),1,0))))</f>
        <v>0</v>
      </c>
      <c r="AF151" s="60" t="n">
        <f aca="false">IF(OR($S151=0,Setup!$B$19=""),0,IF(OR($G151="",$G151="Everyone"),1,IF($G151="Custom",N(V151),IF(OR($G151=Setup!$B$19,AND(Setup!$C$19&lt;&gt;"",$G151=Setup!$C$19)),1,0))))</f>
        <v>0</v>
      </c>
      <c r="AG151" s="60" t="n">
        <f aca="false">IF(OR($S151=0,Setup!$B$20=""),0,IF(OR($G151="",$G151="Everyone"),1,IF($G151="Custom",N(W151),IF(OR($G151=Setup!$B$20,AND(Setup!$C$20&lt;&gt;"",$G151=Setup!$C$20)),1,0))))</f>
        <v>0</v>
      </c>
      <c r="AH151" s="60" t="n">
        <f aca="false">IF(OR($S151=0,Setup!$B$21=""),0,IF(OR($G151="",$G151="Everyone"),1,IF($G151="Custom",N(X151),IF(OR($G151=Setup!$B$21,AND(Setup!$C$21&lt;&gt;"",$G151=Setup!$C$21)),1,0))))</f>
        <v>0</v>
      </c>
      <c r="AI151" s="60" t="n">
        <f aca="false">IF(OR($S151=0,Setup!$B$22=""),0,IF(OR($G151="",$G151="Everyone"),1,IF($G151="Custom",N(Y151),IF(OR($G151=Setup!$B$22,AND(Setup!$C$22&lt;&gt;"",$G151=Setup!$C$22)),1,0))))</f>
        <v>0</v>
      </c>
      <c r="AJ151" s="60" t="n">
        <f aca="false">IF(OR($S151=0,Setup!$B$23=""),0,IF(OR($G151="",$G151="Everyone"),1,IF($G151="Custom",N(Z151),IF(OR($G151=Setup!$B$23,AND(Setup!$C$23&lt;&gt;"",$G151=Setup!$C$23)),1,0))))</f>
        <v>0</v>
      </c>
      <c r="AK151" s="60" t="n">
        <f aca="false">IF(OR($S151=0,Setup!$B$24=""),0,IF(OR($G151="",$G151="Everyone"),1,IF($G151="Custom",N(AA151),IF(OR($G151=Setup!$B$24,AND(Setup!$C$24&lt;&gt;"",$G151=Setup!$C$24)),1,0))))</f>
        <v>0</v>
      </c>
      <c r="AL151" s="60" t="n">
        <f aca="false">IF(OR($S151=0,Setup!$B$25=""),0,IF(OR($G151="",$G151="Everyone"),1,IF($G151="Custom",N(AB151),IF(OR($G151=Setup!$B$25,AND(Setup!$C$25&lt;&gt;"",$G151=Setup!$C$25)),1,0))))</f>
        <v>0</v>
      </c>
      <c r="AM151" s="60" t="n">
        <f aca="false">IF(OR($S151=0,Setup!$B$26=""),0,IF(OR($G151="",$G151="Everyone"),1,IF($G151="Custom",N(AC151),IF(OR($G151=Setup!$B$26,AND(Setup!$C$26&lt;&gt;"",$G151=Setup!$C$26)),1,0))))</f>
        <v>0</v>
      </c>
      <c r="AN151" s="60" t="n">
        <f aca="false">IF(OR($S151=0,Setup!$B$27=""),0,IF(OR($G151="",$G151="Everyone"),1,IF($G151="Custom",N(AD151),IF(OR($G151=Setup!$B$27,AND(Setup!$C$27&lt;&gt;"",$G151=Setup!$C$27)),1,0))))</f>
        <v>0</v>
      </c>
      <c r="AO151" s="60" t="n">
        <f aca="false">IF(SUM(AE151:AN151)=0,1,SUM(AE151:AN151))</f>
        <v>1</v>
      </c>
      <c r="AP151" s="60" t="n">
        <f aca="false">IF(H151="Paid",1,0)</f>
        <v>0</v>
      </c>
      <c r="AQ151" s="60" t="n">
        <f aca="false">IF(AND(S151&gt;0,SUM(AE151:AN151)=0),S151,0)</f>
        <v>0</v>
      </c>
      <c r="AR151" s="60" t="str">
        <f aca="false">IF(AND(N151&lt;&gt;"",TodayDay&lt;&gt;"",N151=TodayDay),COUNTIF($N$6:N151,TodayDay),"")</f>
        <v/>
      </c>
      <c r="AS151" s="60" t="n">
        <f aca="false">IF(B151="",0,IF(COUNTIFS(Settings!$A$5:$A$29,B151,Settings!$B$5:$B$29,"Yes")&gt;0,1,0))</f>
        <v>0</v>
      </c>
      <c r="AT151" s="61" t="n">
        <f aca="false">IF(OR(N151="",TodayDay=""),IF(N151="",S151,0),IF(N151&lt;TodayDay,S151,0))</f>
        <v>0</v>
      </c>
    </row>
    <row r="152" customFormat="false" ht="15" hidden="false" customHeight="false" outlineLevel="0" collapsed="false">
      <c r="A152" s="23"/>
      <c r="B152" s="23"/>
      <c r="C152" s="23"/>
      <c r="D152" s="56"/>
      <c r="E152" s="23"/>
      <c r="F152" s="23"/>
      <c r="G152" s="23"/>
      <c r="H152" s="23"/>
      <c r="I152" s="56"/>
      <c r="J152" s="23"/>
      <c r="K152" s="28"/>
      <c r="L152" s="23"/>
      <c r="M152" s="23"/>
      <c r="N152" s="25" t="str">
        <f aca="false">IF(A152="","",IF(LEFT(A152,3)="Pre",0,IFERROR(VALUE(MID(A152,5,FIND(" ",A152&amp;" ",5)-5)),"")))</f>
        <v/>
      </c>
      <c r="O152" s="57" t="str">
        <f aca="false">IF(N152="","",IF(N152=0,"Before trip",IF(TripStart="","",TripStart+N152-1)))</f>
        <v/>
      </c>
      <c r="P152" s="58" t="str">
        <f aca="false">IF(AND(D152="",I152=""),"",IF(OR(E152="",E152=HomeCcy),1,IFERROR(INDEX(Setup!$J$26:$J$33,MATCH(E152,Setup!$G$26:$G$33,0)),IFERROR(INDEX(Settings!$S$5:$S$64,MATCH(E152,Settings!$R$5:$R$64,0))/HomeINR,1))))</f>
        <v/>
      </c>
      <c r="Q152" s="34" t="str">
        <f aca="false">IF(D152="","",D152*P152)</f>
        <v/>
      </c>
      <c r="R152" s="34" t="str">
        <f aca="false">IF(I152="","",I152*P152)</f>
        <v/>
      </c>
      <c r="S152" s="33" t="n">
        <f aca="false">IF(H152="Cancelled",0,IF(R152&lt;&gt;"",R152,IF(Q152&lt;&gt;"",Q152,0)))</f>
        <v>0</v>
      </c>
      <c r="T152" s="45" t="str">
        <f aca="false">IF(S152=0,"",IF(SUM(AE152:AN152)=0,"⚠ nobody picked",COUNTIF(AE152:AN152,"&gt;0")&amp;" people"))</f>
        <v/>
      </c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60" t="n">
        <f aca="false">IF(OR($S152=0,Setup!$B$18=""),0,IF(OR($G152="",$G152="Everyone"),1,IF($G152="Custom",N(U152),IF(OR($G152=Setup!$B$18,AND(Setup!$C$18&lt;&gt;"",$G152=Setup!$C$18)),1,0))))</f>
        <v>0</v>
      </c>
      <c r="AF152" s="60" t="n">
        <f aca="false">IF(OR($S152=0,Setup!$B$19=""),0,IF(OR($G152="",$G152="Everyone"),1,IF($G152="Custom",N(V152),IF(OR($G152=Setup!$B$19,AND(Setup!$C$19&lt;&gt;"",$G152=Setup!$C$19)),1,0))))</f>
        <v>0</v>
      </c>
      <c r="AG152" s="60" t="n">
        <f aca="false">IF(OR($S152=0,Setup!$B$20=""),0,IF(OR($G152="",$G152="Everyone"),1,IF($G152="Custom",N(W152),IF(OR($G152=Setup!$B$20,AND(Setup!$C$20&lt;&gt;"",$G152=Setup!$C$20)),1,0))))</f>
        <v>0</v>
      </c>
      <c r="AH152" s="60" t="n">
        <f aca="false">IF(OR($S152=0,Setup!$B$21=""),0,IF(OR($G152="",$G152="Everyone"),1,IF($G152="Custom",N(X152),IF(OR($G152=Setup!$B$21,AND(Setup!$C$21&lt;&gt;"",$G152=Setup!$C$21)),1,0))))</f>
        <v>0</v>
      </c>
      <c r="AI152" s="60" t="n">
        <f aca="false">IF(OR($S152=0,Setup!$B$22=""),0,IF(OR($G152="",$G152="Everyone"),1,IF($G152="Custom",N(Y152),IF(OR($G152=Setup!$B$22,AND(Setup!$C$22&lt;&gt;"",$G152=Setup!$C$22)),1,0))))</f>
        <v>0</v>
      </c>
      <c r="AJ152" s="60" t="n">
        <f aca="false">IF(OR($S152=0,Setup!$B$23=""),0,IF(OR($G152="",$G152="Everyone"),1,IF($G152="Custom",N(Z152),IF(OR($G152=Setup!$B$23,AND(Setup!$C$23&lt;&gt;"",$G152=Setup!$C$23)),1,0))))</f>
        <v>0</v>
      </c>
      <c r="AK152" s="60" t="n">
        <f aca="false">IF(OR($S152=0,Setup!$B$24=""),0,IF(OR($G152="",$G152="Everyone"),1,IF($G152="Custom",N(AA152),IF(OR($G152=Setup!$B$24,AND(Setup!$C$24&lt;&gt;"",$G152=Setup!$C$24)),1,0))))</f>
        <v>0</v>
      </c>
      <c r="AL152" s="60" t="n">
        <f aca="false">IF(OR($S152=0,Setup!$B$25=""),0,IF(OR($G152="",$G152="Everyone"),1,IF($G152="Custom",N(AB152),IF(OR($G152=Setup!$B$25,AND(Setup!$C$25&lt;&gt;"",$G152=Setup!$C$25)),1,0))))</f>
        <v>0</v>
      </c>
      <c r="AM152" s="60" t="n">
        <f aca="false">IF(OR($S152=0,Setup!$B$26=""),0,IF(OR($G152="",$G152="Everyone"),1,IF($G152="Custom",N(AC152),IF(OR($G152=Setup!$B$26,AND(Setup!$C$26&lt;&gt;"",$G152=Setup!$C$26)),1,0))))</f>
        <v>0</v>
      </c>
      <c r="AN152" s="60" t="n">
        <f aca="false">IF(OR($S152=0,Setup!$B$27=""),0,IF(OR($G152="",$G152="Everyone"),1,IF($G152="Custom",N(AD152),IF(OR($G152=Setup!$B$27,AND(Setup!$C$27&lt;&gt;"",$G152=Setup!$C$27)),1,0))))</f>
        <v>0</v>
      </c>
      <c r="AO152" s="60" t="n">
        <f aca="false">IF(SUM(AE152:AN152)=0,1,SUM(AE152:AN152))</f>
        <v>1</v>
      </c>
      <c r="AP152" s="60" t="n">
        <f aca="false">IF(H152="Paid",1,0)</f>
        <v>0</v>
      </c>
      <c r="AQ152" s="60" t="n">
        <f aca="false">IF(AND(S152&gt;0,SUM(AE152:AN152)=0),S152,0)</f>
        <v>0</v>
      </c>
      <c r="AR152" s="60" t="str">
        <f aca="false">IF(AND(N152&lt;&gt;"",TodayDay&lt;&gt;"",N152=TodayDay),COUNTIF($N$6:N152,TodayDay),"")</f>
        <v/>
      </c>
      <c r="AS152" s="60" t="n">
        <f aca="false">IF(B152="",0,IF(COUNTIFS(Settings!$A$5:$A$29,B152,Settings!$B$5:$B$29,"Yes")&gt;0,1,0))</f>
        <v>0</v>
      </c>
      <c r="AT152" s="61" t="n">
        <f aca="false">IF(OR(N152="",TodayDay=""),IF(N152="",S152,0),IF(N152&lt;TodayDay,S152,0))</f>
        <v>0</v>
      </c>
    </row>
    <row r="153" customFormat="false" ht="15" hidden="false" customHeight="false" outlineLevel="0" collapsed="false">
      <c r="A153" s="23"/>
      <c r="B153" s="23"/>
      <c r="C153" s="23"/>
      <c r="D153" s="56"/>
      <c r="E153" s="23"/>
      <c r="F153" s="23"/>
      <c r="G153" s="23"/>
      <c r="H153" s="23"/>
      <c r="I153" s="56"/>
      <c r="J153" s="23"/>
      <c r="K153" s="28"/>
      <c r="L153" s="23"/>
      <c r="M153" s="23"/>
      <c r="N153" s="25" t="str">
        <f aca="false">IF(A153="","",IF(LEFT(A153,3)="Pre",0,IFERROR(VALUE(MID(A153,5,FIND(" ",A153&amp;" ",5)-5)),"")))</f>
        <v/>
      </c>
      <c r="O153" s="57" t="str">
        <f aca="false">IF(N153="","",IF(N153=0,"Before trip",IF(TripStart="","",TripStart+N153-1)))</f>
        <v/>
      </c>
      <c r="P153" s="58" t="str">
        <f aca="false">IF(AND(D153="",I153=""),"",IF(OR(E153="",E153=HomeCcy),1,IFERROR(INDEX(Setup!$J$26:$J$33,MATCH(E153,Setup!$G$26:$G$33,0)),IFERROR(INDEX(Settings!$S$5:$S$64,MATCH(E153,Settings!$R$5:$R$64,0))/HomeINR,1))))</f>
        <v/>
      </c>
      <c r="Q153" s="34" t="str">
        <f aca="false">IF(D153="","",D153*P153)</f>
        <v/>
      </c>
      <c r="R153" s="34" t="str">
        <f aca="false">IF(I153="","",I153*P153)</f>
        <v/>
      </c>
      <c r="S153" s="33" t="n">
        <f aca="false">IF(H153="Cancelled",0,IF(R153&lt;&gt;"",R153,IF(Q153&lt;&gt;"",Q153,0)))</f>
        <v>0</v>
      </c>
      <c r="T153" s="45" t="str">
        <f aca="false">IF(S153=0,"",IF(SUM(AE153:AN153)=0,"⚠ nobody picked",COUNTIF(AE153:AN153,"&gt;0")&amp;" people"))</f>
        <v/>
      </c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60" t="n">
        <f aca="false">IF(OR($S153=0,Setup!$B$18=""),0,IF(OR($G153="",$G153="Everyone"),1,IF($G153="Custom",N(U153),IF(OR($G153=Setup!$B$18,AND(Setup!$C$18&lt;&gt;"",$G153=Setup!$C$18)),1,0))))</f>
        <v>0</v>
      </c>
      <c r="AF153" s="60" t="n">
        <f aca="false">IF(OR($S153=0,Setup!$B$19=""),0,IF(OR($G153="",$G153="Everyone"),1,IF($G153="Custom",N(V153),IF(OR($G153=Setup!$B$19,AND(Setup!$C$19&lt;&gt;"",$G153=Setup!$C$19)),1,0))))</f>
        <v>0</v>
      </c>
      <c r="AG153" s="60" t="n">
        <f aca="false">IF(OR($S153=0,Setup!$B$20=""),0,IF(OR($G153="",$G153="Everyone"),1,IF($G153="Custom",N(W153),IF(OR($G153=Setup!$B$20,AND(Setup!$C$20&lt;&gt;"",$G153=Setup!$C$20)),1,0))))</f>
        <v>0</v>
      </c>
      <c r="AH153" s="60" t="n">
        <f aca="false">IF(OR($S153=0,Setup!$B$21=""),0,IF(OR($G153="",$G153="Everyone"),1,IF($G153="Custom",N(X153),IF(OR($G153=Setup!$B$21,AND(Setup!$C$21&lt;&gt;"",$G153=Setup!$C$21)),1,0))))</f>
        <v>0</v>
      </c>
      <c r="AI153" s="60" t="n">
        <f aca="false">IF(OR($S153=0,Setup!$B$22=""),0,IF(OR($G153="",$G153="Everyone"),1,IF($G153="Custom",N(Y153),IF(OR($G153=Setup!$B$22,AND(Setup!$C$22&lt;&gt;"",$G153=Setup!$C$22)),1,0))))</f>
        <v>0</v>
      </c>
      <c r="AJ153" s="60" t="n">
        <f aca="false">IF(OR($S153=0,Setup!$B$23=""),0,IF(OR($G153="",$G153="Everyone"),1,IF($G153="Custom",N(Z153),IF(OR($G153=Setup!$B$23,AND(Setup!$C$23&lt;&gt;"",$G153=Setup!$C$23)),1,0))))</f>
        <v>0</v>
      </c>
      <c r="AK153" s="60" t="n">
        <f aca="false">IF(OR($S153=0,Setup!$B$24=""),0,IF(OR($G153="",$G153="Everyone"),1,IF($G153="Custom",N(AA153),IF(OR($G153=Setup!$B$24,AND(Setup!$C$24&lt;&gt;"",$G153=Setup!$C$24)),1,0))))</f>
        <v>0</v>
      </c>
      <c r="AL153" s="60" t="n">
        <f aca="false">IF(OR($S153=0,Setup!$B$25=""),0,IF(OR($G153="",$G153="Everyone"),1,IF($G153="Custom",N(AB153),IF(OR($G153=Setup!$B$25,AND(Setup!$C$25&lt;&gt;"",$G153=Setup!$C$25)),1,0))))</f>
        <v>0</v>
      </c>
      <c r="AM153" s="60" t="n">
        <f aca="false">IF(OR($S153=0,Setup!$B$26=""),0,IF(OR($G153="",$G153="Everyone"),1,IF($G153="Custom",N(AC153),IF(OR($G153=Setup!$B$26,AND(Setup!$C$26&lt;&gt;"",$G153=Setup!$C$26)),1,0))))</f>
        <v>0</v>
      </c>
      <c r="AN153" s="60" t="n">
        <f aca="false">IF(OR($S153=0,Setup!$B$27=""),0,IF(OR($G153="",$G153="Everyone"),1,IF($G153="Custom",N(AD153),IF(OR($G153=Setup!$B$27,AND(Setup!$C$27&lt;&gt;"",$G153=Setup!$C$27)),1,0))))</f>
        <v>0</v>
      </c>
      <c r="AO153" s="60" t="n">
        <f aca="false">IF(SUM(AE153:AN153)=0,1,SUM(AE153:AN153))</f>
        <v>1</v>
      </c>
      <c r="AP153" s="60" t="n">
        <f aca="false">IF(H153="Paid",1,0)</f>
        <v>0</v>
      </c>
      <c r="AQ153" s="60" t="n">
        <f aca="false">IF(AND(S153&gt;0,SUM(AE153:AN153)=0),S153,0)</f>
        <v>0</v>
      </c>
      <c r="AR153" s="60" t="str">
        <f aca="false">IF(AND(N153&lt;&gt;"",TodayDay&lt;&gt;"",N153=TodayDay),COUNTIF($N$6:N153,TodayDay),"")</f>
        <v/>
      </c>
      <c r="AS153" s="60" t="n">
        <f aca="false">IF(B153="",0,IF(COUNTIFS(Settings!$A$5:$A$29,B153,Settings!$B$5:$B$29,"Yes")&gt;0,1,0))</f>
        <v>0</v>
      </c>
      <c r="AT153" s="61" t="n">
        <f aca="false">IF(OR(N153="",TodayDay=""),IF(N153="",S153,0),IF(N153&lt;TodayDay,S153,0))</f>
        <v>0</v>
      </c>
    </row>
    <row r="154" customFormat="false" ht="15" hidden="false" customHeight="false" outlineLevel="0" collapsed="false">
      <c r="A154" s="23"/>
      <c r="B154" s="23"/>
      <c r="C154" s="23"/>
      <c r="D154" s="56"/>
      <c r="E154" s="23"/>
      <c r="F154" s="23"/>
      <c r="G154" s="23"/>
      <c r="H154" s="23"/>
      <c r="I154" s="56"/>
      <c r="J154" s="23"/>
      <c r="K154" s="28"/>
      <c r="L154" s="23"/>
      <c r="M154" s="23"/>
      <c r="N154" s="25" t="str">
        <f aca="false">IF(A154="","",IF(LEFT(A154,3)="Pre",0,IFERROR(VALUE(MID(A154,5,FIND(" ",A154&amp;" ",5)-5)),"")))</f>
        <v/>
      </c>
      <c r="O154" s="57" t="str">
        <f aca="false">IF(N154="","",IF(N154=0,"Before trip",IF(TripStart="","",TripStart+N154-1)))</f>
        <v/>
      </c>
      <c r="P154" s="58" t="str">
        <f aca="false">IF(AND(D154="",I154=""),"",IF(OR(E154="",E154=HomeCcy),1,IFERROR(INDEX(Setup!$J$26:$J$33,MATCH(E154,Setup!$G$26:$G$33,0)),IFERROR(INDEX(Settings!$S$5:$S$64,MATCH(E154,Settings!$R$5:$R$64,0))/HomeINR,1))))</f>
        <v/>
      </c>
      <c r="Q154" s="34" t="str">
        <f aca="false">IF(D154="","",D154*P154)</f>
        <v/>
      </c>
      <c r="R154" s="34" t="str">
        <f aca="false">IF(I154="","",I154*P154)</f>
        <v/>
      </c>
      <c r="S154" s="33" t="n">
        <f aca="false">IF(H154="Cancelled",0,IF(R154&lt;&gt;"",R154,IF(Q154&lt;&gt;"",Q154,0)))</f>
        <v>0</v>
      </c>
      <c r="T154" s="45" t="str">
        <f aca="false">IF(S154=0,"",IF(SUM(AE154:AN154)=0,"⚠ nobody picked",COUNTIF(AE154:AN154,"&gt;0")&amp;" people"))</f>
        <v/>
      </c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60" t="n">
        <f aca="false">IF(OR($S154=0,Setup!$B$18=""),0,IF(OR($G154="",$G154="Everyone"),1,IF($G154="Custom",N(U154),IF(OR($G154=Setup!$B$18,AND(Setup!$C$18&lt;&gt;"",$G154=Setup!$C$18)),1,0))))</f>
        <v>0</v>
      </c>
      <c r="AF154" s="60" t="n">
        <f aca="false">IF(OR($S154=0,Setup!$B$19=""),0,IF(OR($G154="",$G154="Everyone"),1,IF($G154="Custom",N(V154),IF(OR($G154=Setup!$B$19,AND(Setup!$C$19&lt;&gt;"",$G154=Setup!$C$19)),1,0))))</f>
        <v>0</v>
      </c>
      <c r="AG154" s="60" t="n">
        <f aca="false">IF(OR($S154=0,Setup!$B$20=""),0,IF(OR($G154="",$G154="Everyone"),1,IF($G154="Custom",N(W154),IF(OR($G154=Setup!$B$20,AND(Setup!$C$20&lt;&gt;"",$G154=Setup!$C$20)),1,0))))</f>
        <v>0</v>
      </c>
      <c r="AH154" s="60" t="n">
        <f aca="false">IF(OR($S154=0,Setup!$B$21=""),0,IF(OR($G154="",$G154="Everyone"),1,IF($G154="Custom",N(X154),IF(OR($G154=Setup!$B$21,AND(Setup!$C$21&lt;&gt;"",$G154=Setup!$C$21)),1,0))))</f>
        <v>0</v>
      </c>
      <c r="AI154" s="60" t="n">
        <f aca="false">IF(OR($S154=0,Setup!$B$22=""),0,IF(OR($G154="",$G154="Everyone"),1,IF($G154="Custom",N(Y154),IF(OR($G154=Setup!$B$22,AND(Setup!$C$22&lt;&gt;"",$G154=Setup!$C$22)),1,0))))</f>
        <v>0</v>
      </c>
      <c r="AJ154" s="60" t="n">
        <f aca="false">IF(OR($S154=0,Setup!$B$23=""),0,IF(OR($G154="",$G154="Everyone"),1,IF($G154="Custom",N(Z154),IF(OR($G154=Setup!$B$23,AND(Setup!$C$23&lt;&gt;"",$G154=Setup!$C$23)),1,0))))</f>
        <v>0</v>
      </c>
      <c r="AK154" s="60" t="n">
        <f aca="false">IF(OR($S154=0,Setup!$B$24=""),0,IF(OR($G154="",$G154="Everyone"),1,IF($G154="Custom",N(AA154),IF(OR($G154=Setup!$B$24,AND(Setup!$C$24&lt;&gt;"",$G154=Setup!$C$24)),1,0))))</f>
        <v>0</v>
      </c>
      <c r="AL154" s="60" t="n">
        <f aca="false">IF(OR($S154=0,Setup!$B$25=""),0,IF(OR($G154="",$G154="Everyone"),1,IF($G154="Custom",N(AB154),IF(OR($G154=Setup!$B$25,AND(Setup!$C$25&lt;&gt;"",$G154=Setup!$C$25)),1,0))))</f>
        <v>0</v>
      </c>
      <c r="AM154" s="60" t="n">
        <f aca="false">IF(OR($S154=0,Setup!$B$26=""),0,IF(OR($G154="",$G154="Everyone"),1,IF($G154="Custom",N(AC154),IF(OR($G154=Setup!$B$26,AND(Setup!$C$26&lt;&gt;"",$G154=Setup!$C$26)),1,0))))</f>
        <v>0</v>
      </c>
      <c r="AN154" s="60" t="n">
        <f aca="false">IF(OR($S154=0,Setup!$B$27=""),0,IF(OR($G154="",$G154="Everyone"),1,IF($G154="Custom",N(AD154),IF(OR($G154=Setup!$B$27,AND(Setup!$C$27&lt;&gt;"",$G154=Setup!$C$27)),1,0))))</f>
        <v>0</v>
      </c>
      <c r="AO154" s="60" t="n">
        <f aca="false">IF(SUM(AE154:AN154)=0,1,SUM(AE154:AN154))</f>
        <v>1</v>
      </c>
      <c r="AP154" s="60" t="n">
        <f aca="false">IF(H154="Paid",1,0)</f>
        <v>0</v>
      </c>
      <c r="AQ154" s="60" t="n">
        <f aca="false">IF(AND(S154&gt;0,SUM(AE154:AN154)=0),S154,0)</f>
        <v>0</v>
      </c>
      <c r="AR154" s="60" t="str">
        <f aca="false">IF(AND(N154&lt;&gt;"",TodayDay&lt;&gt;"",N154=TodayDay),COUNTIF($N$6:N154,TodayDay),"")</f>
        <v/>
      </c>
      <c r="AS154" s="60" t="n">
        <f aca="false">IF(B154="",0,IF(COUNTIFS(Settings!$A$5:$A$29,B154,Settings!$B$5:$B$29,"Yes")&gt;0,1,0))</f>
        <v>0</v>
      </c>
      <c r="AT154" s="61" t="n">
        <f aca="false">IF(OR(N154="",TodayDay=""),IF(N154="",S154,0),IF(N154&lt;TodayDay,S154,0))</f>
        <v>0</v>
      </c>
    </row>
    <row r="155" customFormat="false" ht="15" hidden="false" customHeight="false" outlineLevel="0" collapsed="false">
      <c r="A155" s="23"/>
      <c r="B155" s="23"/>
      <c r="C155" s="23"/>
      <c r="D155" s="56"/>
      <c r="E155" s="23"/>
      <c r="F155" s="23"/>
      <c r="G155" s="23"/>
      <c r="H155" s="23"/>
      <c r="I155" s="56"/>
      <c r="J155" s="23"/>
      <c r="K155" s="28"/>
      <c r="L155" s="23"/>
      <c r="M155" s="23"/>
      <c r="N155" s="25" t="str">
        <f aca="false">IF(A155="","",IF(LEFT(A155,3)="Pre",0,IFERROR(VALUE(MID(A155,5,FIND(" ",A155&amp;" ",5)-5)),"")))</f>
        <v/>
      </c>
      <c r="O155" s="57" t="str">
        <f aca="false">IF(N155="","",IF(N155=0,"Before trip",IF(TripStart="","",TripStart+N155-1)))</f>
        <v/>
      </c>
      <c r="P155" s="58" t="str">
        <f aca="false">IF(AND(D155="",I155=""),"",IF(OR(E155="",E155=HomeCcy),1,IFERROR(INDEX(Setup!$J$26:$J$33,MATCH(E155,Setup!$G$26:$G$33,0)),IFERROR(INDEX(Settings!$S$5:$S$64,MATCH(E155,Settings!$R$5:$R$64,0))/HomeINR,1))))</f>
        <v/>
      </c>
      <c r="Q155" s="34" t="str">
        <f aca="false">IF(D155="","",D155*P155)</f>
        <v/>
      </c>
      <c r="R155" s="34" t="str">
        <f aca="false">IF(I155="","",I155*P155)</f>
        <v/>
      </c>
      <c r="S155" s="33" t="n">
        <f aca="false">IF(H155="Cancelled",0,IF(R155&lt;&gt;"",R155,IF(Q155&lt;&gt;"",Q155,0)))</f>
        <v>0</v>
      </c>
      <c r="T155" s="45" t="str">
        <f aca="false">IF(S155=0,"",IF(SUM(AE155:AN155)=0,"⚠ nobody picked",COUNTIF(AE155:AN155,"&gt;0")&amp;" people"))</f>
        <v/>
      </c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60" t="n">
        <f aca="false">IF(OR($S155=0,Setup!$B$18=""),0,IF(OR($G155="",$G155="Everyone"),1,IF($G155="Custom",N(U155),IF(OR($G155=Setup!$B$18,AND(Setup!$C$18&lt;&gt;"",$G155=Setup!$C$18)),1,0))))</f>
        <v>0</v>
      </c>
      <c r="AF155" s="60" t="n">
        <f aca="false">IF(OR($S155=0,Setup!$B$19=""),0,IF(OR($G155="",$G155="Everyone"),1,IF($G155="Custom",N(V155),IF(OR($G155=Setup!$B$19,AND(Setup!$C$19&lt;&gt;"",$G155=Setup!$C$19)),1,0))))</f>
        <v>0</v>
      </c>
      <c r="AG155" s="60" t="n">
        <f aca="false">IF(OR($S155=0,Setup!$B$20=""),0,IF(OR($G155="",$G155="Everyone"),1,IF($G155="Custom",N(W155),IF(OR($G155=Setup!$B$20,AND(Setup!$C$20&lt;&gt;"",$G155=Setup!$C$20)),1,0))))</f>
        <v>0</v>
      </c>
      <c r="AH155" s="60" t="n">
        <f aca="false">IF(OR($S155=0,Setup!$B$21=""),0,IF(OR($G155="",$G155="Everyone"),1,IF($G155="Custom",N(X155),IF(OR($G155=Setup!$B$21,AND(Setup!$C$21&lt;&gt;"",$G155=Setup!$C$21)),1,0))))</f>
        <v>0</v>
      </c>
      <c r="AI155" s="60" t="n">
        <f aca="false">IF(OR($S155=0,Setup!$B$22=""),0,IF(OR($G155="",$G155="Everyone"),1,IF($G155="Custom",N(Y155),IF(OR($G155=Setup!$B$22,AND(Setup!$C$22&lt;&gt;"",$G155=Setup!$C$22)),1,0))))</f>
        <v>0</v>
      </c>
      <c r="AJ155" s="60" t="n">
        <f aca="false">IF(OR($S155=0,Setup!$B$23=""),0,IF(OR($G155="",$G155="Everyone"),1,IF($G155="Custom",N(Z155),IF(OR($G155=Setup!$B$23,AND(Setup!$C$23&lt;&gt;"",$G155=Setup!$C$23)),1,0))))</f>
        <v>0</v>
      </c>
      <c r="AK155" s="60" t="n">
        <f aca="false">IF(OR($S155=0,Setup!$B$24=""),0,IF(OR($G155="",$G155="Everyone"),1,IF($G155="Custom",N(AA155),IF(OR($G155=Setup!$B$24,AND(Setup!$C$24&lt;&gt;"",$G155=Setup!$C$24)),1,0))))</f>
        <v>0</v>
      </c>
      <c r="AL155" s="60" t="n">
        <f aca="false">IF(OR($S155=0,Setup!$B$25=""),0,IF(OR($G155="",$G155="Everyone"),1,IF($G155="Custom",N(AB155),IF(OR($G155=Setup!$B$25,AND(Setup!$C$25&lt;&gt;"",$G155=Setup!$C$25)),1,0))))</f>
        <v>0</v>
      </c>
      <c r="AM155" s="60" t="n">
        <f aca="false">IF(OR($S155=0,Setup!$B$26=""),0,IF(OR($G155="",$G155="Everyone"),1,IF($G155="Custom",N(AC155),IF(OR($G155=Setup!$B$26,AND(Setup!$C$26&lt;&gt;"",$G155=Setup!$C$26)),1,0))))</f>
        <v>0</v>
      </c>
      <c r="AN155" s="60" t="n">
        <f aca="false">IF(OR($S155=0,Setup!$B$27=""),0,IF(OR($G155="",$G155="Everyone"),1,IF($G155="Custom",N(AD155),IF(OR($G155=Setup!$B$27,AND(Setup!$C$27&lt;&gt;"",$G155=Setup!$C$27)),1,0))))</f>
        <v>0</v>
      </c>
      <c r="AO155" s="60" t="n">
        <f aca="false">IF(SUM(AE155:AN155)=0,1,SUM(AE155:AN155))</f>
        <v>1</v>
      </c>
      <c r="AP155" s="60" t="n">
        <f aca="false">IF(H155="Paid",1,0)</f>
        <v>0</v>
      </c>
      <c r="AQ155" s="60" t="n">
        <f aca="false">IF(AND(S155&gt;0,SUM(AE155:AN155)=0),S155,0)</f>
        <v>0</v>
      </c>
      <c r="AR155" s="60" t="str">
        <f aca="false">IF(AND(N155&lt;&gt;"",TodayDay&lt;&gt;"",N155=TodayDay),COUNTIF($N$6:N155,TodayDay),"")</f>
        <v/>
      </c>
      <c r="AS155" s="60" t="n">
        <f aca="false">IF(B155="",0,IF(COUNTIFS(Settings!$A$5:$A$29,B155,Settings!$B$5:$B$29,"Yes")&gt;0,1,0))</f>
        <v>0</v>
      </c>
      <c r="AT155" s="61" t="n">
        <f aca="false">IF(OR(N155="",TodayDay=""),IF(N155="",S155,0),IF(N155&lt;TodayDay,S155,0))</f>
        <v>0</v>
      </c>
    </row>
    <row r="156" customFormat="false" ht="15" hidden="false" customHeight="false" outlineLevel="0" collapsed="false">
      <c r="A156" s="23"/>
      <c r="B156" s="23"/>
      <c r="C156" s="23"/>
      <c r="D156" s="56"/>
      <c r="E156" s="23"/>
      <c r="F156" s="23"/>
      <c r="G156" s="23"/>
      <c r="H156" s="23"/>
      <c r="I156" s="56"/>
      <c r="J156" s="23"/>
      <c r="K156" s="28"/>
      <c r="L156" s="23"/>
      <c r="M156" s="23"/>
      <c r="N156" s="25" t="str">
        <f aca="false">IF(A156="","",IF(LEFT(A156,3)="Pre",0,IFERROR(VALUE(MID(A156,5,FIND(" ",A156&amp;" ",5)-5)),"")))</f>
        <v/>
      </c>
      <c r="O156" s="57" t="str">
        <f aca="false">IF(N156="","",IF(N156=0,"Before trip",IF(TripStart="","",TripStart+N156-1)))</f>
        <v/>
      </c>
      <c r="P156" s="58" t="str">
        <f aca="false">IF(AND(D156="",I156=""),"",IF(OR(E156="",E156=HomeCcy),1,IFERROR(INDEX(Setup!$J$26:$J$33,MATCH(E156,Setup!$G$26:$G$33,0)),IFERROR(INDEX(Settings!$S$5:$S$64,MATCH(E156,Settings!$R$5:$R$64,0))/HomeINR,1))))</f>
        <v/>
      </c>
      <c r="Q156" s="34" t="str">
        <f aca="false">IF(D156="","",D156*P156)</f>
        <v/>
      </c>
      <c r="R156" s="34" t="str">
        <f aca="false">IF(I156="","",I156*P156)</f>
        <v/>
      </c>
      <c r="S156" s="33" t="n">
        <f aca="false">IF(H156="Cancelled",0,IF(R156&lt;&gt;"",R156,IF(Q156&lt;&gt;"",Q156,0)))</f>
        <v>0</v>
      </c>
      <c r="T156" s="45" t="str">
        <f aca="false">IF(S156=0,"",IF(SUM(AE156:AN156)=0,"⚠ nobody picked",COUNTIF(AE156:AN156,"&gt;0")&amp;" people"))</f>
        <v/>
      </c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60" t="n">
        <f aca="false">IF(OR($S156=0,Setup!$B$18=""),0,IF(OR($G156="",$G156="Everyone"),1,IF($G156="Custom",N(U156),IF(OR($G156=Setup!$B$18,AND(Setup!$C$18&lt;&gt;"",$G156=Setup!$C$18)),1,0))))</f>
        <v>0</v>
      </c>
      <c r="AF156" s="60" t="n">
        <f aca="false">IF(OR($S156=0,Setup!$B$19=""),0,IF(OR($G156="",$G156="Everyone"),1,IF($G156="Custom",N(V156),IF(OR($G156=Setup!$B$19,AND(Setup!$C$19&lt;&gt;"",$G156=Setup!$C$19)),1,0))))</f>
        <v>0</v>
      </c>
      <c r="AG156" s="60" t="n">
        <f aca="false">IF(OR($S156=0,Setup!$B$20=""),0,IF(OR($G156="",$G156="Everyone"),1,IF($G156="Custom",N(W156),IF(OR($G156=Setup!$B$20,AND(Setup!$C$20&lt;&gt;"",$G156=Setup!$C$20)),1,0))))</f>
        <v>0</v>
      </c>
      <c r="AH156" s="60" t="n">
        <f aca="false">IF(OR($S156=0,Setup!$B$21=""),0,IF(OR($G156="",$G156="Everyone"),1,IF($G156="Custom",N(X156),IF(OR($G156=Setup!$B$21,AND(Setup!$C$21&lt;&gt;"",$G156=Setup!$C$21)),1,0))))</f>
        <v>0</v>
      </c>
      <c r="AI156" s="60" t="n">
        <f aca="false">IF(OR($S156=0,Setup!$B$22=""),0,IF(OR($G156="",$G156="Everyone"),1,IF($G156="Custom",N(Y156),IF(OR($G156=Setup!$B$22,AND(Setup!$C$22&lt;&gt;"",$G156=Setup!$C$22)),1,0))))</f>
        <v>0</v>
      </c>
      <c r="AJ156" s="60" t="n">
        <f aca="false">IF(OR($S156=0,Setup!$B$23=""),0,IF(OR($G156="",$G156="Everyone"),1,IF($G156="Custom",N(Z156),IF(OR($G156=Setup!$B$23,AND(Setup!$C$23&lt;&gt;"",$G156=Setup!$C$23)),1,0))))</f>
        <v>0</v>
      </c>
      <c r="AK156" s="60" t="n">
        <f aca="false">IF(OR($S156=0,Setup!$B$24=""),0,IF(OR($G156="",$G156="Everyone"),1,IF($G156="Custom",N(AA156),IF(OR($G156=Setup!$B$24,AND(Setup!$C$24&lt;&gt;"",$G156=Setup!$C$24)),1,0))))</f>
        <v>0</v>
      </c>
      <c r="AL156" s="60" t="n">
        <f aca="false">IF(OR($S156=0,Setup!$B$25=""),0,IF(OR($G156="",$G156="Everyone"),1,IF($G156="Custom",N(AB156),IF(OR($G156=Setup!$B$25,AND(Setup!$C$25&lt;&gt;"",$G156=Setup!$C$25)),1,0))))</f>
        <v>0</v>
      </c>
      <c r="AM156" s="60" t="n">
        <f aca="false">IF(OR($S156=0,Setup!$B$26=""),0,IF(OR($G156="",$G156="Everyone"),1,IF($G156="Custom",N(AC156),IF(OR($G156=Setup!$B$26,AND(Setup!$C$26&lt;&gt;"",$G156=Setup!$C$26)),1,0))))</f>
        <v>0</v>
      </c>
      <c r="AN156" s="60" t="n">
        <f aca="false">IF(OR($S156=0,Setup!$B$27=""),0,IF(OR($G156="",$G156="Everyone"),1,IF($G156="Custom",N(AD156),IF(OR($G156=Setup!$B$27,AND(Setup!$C$27&lt;&gt;"",$G156=Setup!$C$27)),1,0))))</f>
        <v>0</v>
      </c>
      <c r="AO156" s="60" t="n">
        <f aca="false">IF(SUM(AE156:AN156)=0,1,SUM(AE156:AN156))</f>
        <v>1</v>
      </c>
      <c r="AP156" s="60" t="n">
        <f aca="false">IF(H156="Paid",1,0)</f>
        <v>0</v>
      </c>
      <c r="AQ156" s="60" t="n">
        <f aca="false">IF(AND(S156&gt;0,SUM(AE156:AN156)=0),S156,0)</f>
        <v>0</v>
      </c>
      <c r="AR156" s="60" t="str">
        <f aca="false">IF(AND(N156&lt;&gt;"",TodayDay&lt;&gt;"",N156=TodayDay),COUNTIF($N$6:N156,TodayDay),"")</f>
        <v/>
      </c>
      <c r="AS156" s="60" t="n">
        <f aca="false">IF(B156="",0,IF(COUNTIFS(Settings!$A$5:$A$29,B156,Settings!$B$5:$B$29,"Yes")&gt;0,1,0))</f>
        <v>0</v>
      </c>
      <c r="AT156" s="61" t="n">
        <f aca="false">IF(OR(N156="",TodayDay=""),IF(N156="",S156,0),IF(N156&lt;TodayDay,S156,0))</f>
        <v>0</v>
      </c>
    </row>
    <row r="157" customFormat="false" ht="15" hidden="false" customHeight="false" outlineLevel="0" collapsed="false">
      <c r="A157" s="23"/>
      <c r="B157" s="23"/>
      <c r="C157" s="23"/>
      <c r="D157" s="56"/>
      <c r="E157" s="23"/>
      <c r="F157" s="23"/>
      <c r="G157" s="23"/>
      <c r="H157" s="23"/>
      <c r="I157" s="56"/>
      <c r="J157" s="23"/>
      <c r="K157" s="28"/>
      <c r="L157" s="23"/>
      <c r="M157" s="23"/>
      <c r="N157" s="25" t="str">
        <f aca="false">IF(A157="","",IF(LEFT(A157,3)="Pre",0,IFERROR(VALUE(MID(A157,5,FIND(" ",A157&amp;" ",5)-5)),"")))</f>
        <v/>
      </c>
      <c r="O157" s="57" t="str">
        <f aca="false">IF(N157="","",IF(N157=0,"Before trip",IF(TripStart="","",TripStart+N157-1)))</f>
        <v/>
      </c>
      <c r="P157" s="58" t="str">
        <f aca="false">IF(AND(D157="",I157=""),"",IF(OR(E157="",E157=HomeCcy),1,IFERROR(INDEX(Setup!$J$26:$J$33,MATCH(E157,Setup!$G$26:$G$33,0)),IFERROR(INDEX(Settings!$S$5:$S$64,MATCH(E157,Settings!$R$5:$R$64,0))/HomeINR,1))))</f>
        <v/>
      </c>
      <c r="Q157" s="34" t="str">
        <f aca="false">IF(D157="","",D157*P157)</f>
        <v/>
      </c>
      <c r="R157" s="34" t="str">
        <f aca="false">IF(I157="","",I157*P157)</f>
        <v/>
      </c>
      <c r="S157" s="33" t="n">
        <f aca="false">IF(H157="Cancelled",0,IF(R157&lt;&gt;"",R157,IF(Q157&lt;&gt;"",Q157,0)))</f>
        <v>0</v>
      </c>
      <c r="T157" s="45" t="str">
        <f aca="false">IF(S157=0,"",IF(SUM(AE157:AN157)=0,"⚠ nobody picked",COUNTIF(AE157:AN157,"&gt;0")&amp;" people"))</f>
        <v/>
      </c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60" t="n">
        <f aca="false">IF(OR($S157=0,Setup!$B$18=""),0,IF(OR($G157="",$G157="Everyone"),1,IF($G157="Custom",N(U157),IF(OR($G157=Setup!$B$18,AND(Setup!$C$18&lt;&gt;"",$G157=Setup!$C$18)),1,0))))</f>
        <v>0</v>
      </c>
      <c r="AF157" s="60" t="n">
        <f aca="false">IF(OR($S157=0,Setup!$B$19=""),0,IF(OR($G157="",$G157="Everyone"),1,IF($G157="Custom",N(V157),IF(OR($G157=Setup!$B$19,AND(Setup!$C$19&lt;&gt;"",$G157=Setup!$C$19)),1,0))))</f>
        <v>0</v>
      </c>
      <c r="AG157" s="60" t="n">
        <f aca="false">IF(OR($S157=0,Setup!$B$20=""),0,IF(OR($G157="",$G157="Everyone"),1,IF($G157="Custom",N(W157),IF(OR($G157=Setup!$B$20,AND(Setup!$C$20&lt;&gt;"",$G157=Setup!$C$20)),1,0))))</f>
        <v>0</v>
      </c>
      <c r="AH157" s="60" t="n">
        <f aca="false">IF(OR($S157=0,Setup!$B$21=""),0,IF(OR($G157="",$G157="Everyone"),1,IF($G157="Custom",N(X157),IF(OR($G157=Setup!$B$21,AND(Setup!$C$21&lt;&gt;"",$G157=Setup!$C$21)),1,0))))</f>
        <v>0</v>
      </c>
      <c r="AI157" s="60" t="n">
        <f aca="false">IF(OR($S157=0,Setup!$B$22=""),0,IF(OR($G157="",$G157="Everyone"),1,IF($G157="Custom",N(Y157),IF(OR($G157=Setup!$B$22,AND(Setup!$C$22&lt;&gt;"",$G157=Setup!$C$22)),1,0))))</f>
        <v>0</v>
      </c>
      <c r="AJ157" s="60" t="n">
        <f aca="false">IF(OR($S157=0,Setup!$B$23=""),0,IF(OR($G157="",$G157="Everyone"),1,IF($G157="Custom",N(Z157),IF(OR($G157=Setup!$B$23,AND(Setup!$C$23&lt;&gt;"",$G157=Setup!$C$23)),1,0))))</f>
        <v>0</v>
      </c>
      <c r="AK157" s="60" t="n">
        <f aca="false">IF(OR($S157=0,Setup!$B$24=""),0,IF(OR($G157="",$G157="Everyone"),1,IF($G157="Custom",N(AA157),IF(OR($G157=Setup!$B$24,AND(Setup!$C$24&lt;&gt;"",$G157=Setup!$C$24)),1,0))))</f>
        <v>0</v>
      </c>
      <c r="AL157" s="60" t="n">
        <f aca="false">IF(OR($S157=0,Setup!$B$25=""),0,IF(OR($G157="",$G157="Everyone"),1,IF($G157="Custom",N(AB157),IF(OR($G157=Setup!$B$25,AND(Setup!$C$25&lt;&gt;"",$G157=Setup!$C$25)),1,0))))</f>
        <v>0</v>
      </c>
      <c r="AM157" s="60" t="n">
        <f aca="false">IF(OR($S157=0,Setup!$B$26=""),0,IF(OR($G157="",$G157="Everyone"),1,IF($G157="Custom",N(AC157),IF(OR($G157=Setup!$B$26,AND(Setup!$C$26&lt;&gt;"",$G157=Setup!$C$26)),1,0))))</f>
        <v>0</v>
      </c>
      <c r="AN157" s="60" t="n">
        <f aca="false">IF(OR($S157=0,Setup!$B$27=""),0,IF(OR($G157="",$G157="Everyone"),1,IF($G157="Custom",N(AD157),IF(OR($G157=Setup!$B$27,AND(Setup!$C$27&lt;&gt;"",$G157=Setup!$C$27)),1,0))))</f>
        <v>0</v>
      </c>
      <c r="AO157" s="60" t="n">
        <f aca="false">IF(SUM(AE157:AN157)=0,1,SUM(AE157:AN157))</f>
        <v>1</v>
      </c>
      <c r="AP157" s="60" t="n">
        <f aca="false">IF(H157="Paid",1,0)</f>
        <v>0</v>
      </c>
      <c r="AQ157" s="60" t="n">
        <f aca="false">IF(AND(S157&gt;0,SUM(AE157:AN157)=0),S157,0)</f>
        <v>0</v>
      </c>
      <c r="AR157" s="60" t="str">
        <f aca="false">IF(AND(N157&lt;&gt;"",TodayDay&lt;&gt;"",N157=TodayDay),COUNTIF($N$6:N157,TodayDay),"")</f>
        <v/>
      </c>
      <c r="AS157" s="60" t="n">
        <f aca="false">IF(B157="",0,IF(COUNTIFS(Settings!$A$5:$A$29,B157,Settings!$B$5:$B$29,"Yes")&gt;0,1,0))</f>
        <v>0</v>
      </c>
      <c r="AT157" s="61" t="n">
        <f aca="false">IF(OR(N157="",TodayDay=""),IF(N157="",S157,0),IF(N157&lt;TodayDay,S157,0))</f>
        <v>0</v>
      </c>
    </row>
    <row r="158" customFormat="false" ht="15" hidden="false" customHeight="false" outlineLevel="0" collapsed="false">
      <c r="A158" s="23"/>
      <c r="B158" s="23"/>
      <c r="C158" s="23"/>
      <c r="D158" s="56"/>
      <c r="E158" s="23"/>
      <c r="F158" s="23"/>
      <c r="G158" s="23"/>
      <c r="H158" s="23"/>
      <c r="I158" s="56"/>
      <c r="J158" s="23"/>
      <c r="K158" s="28"/>
      <c r="L158" s="23"/>
      <c r="M158" s="23"/>
      <c r="N158" s="25" t="str">
        <f aca="false">IF(A158="","",IF(LEFT(A158,3)="Pre",0,IFERROR(VALUE(MID(A158,5,FIND(" ",A158&amp;" ",5)-5)),"")))</f>
        <v/>
      </c>
      <c r="O158" s="57" t="str">
        <f aca="false">IF(N158="","",IF(N158=0,"Before trip",IF(TripStart="","",TripStart+N158-1)))</f>
        <v/>
      </c>
      <c r="P158" s="58" t="str">
        <f aca="false">IF(AND(D158="",I158=""),"",IF(OR(E158="",E158=HomeCcy),1,IFERROR(INDEX(Setup!$J$26:$J$33,MATCH(E158,Setup!$G$26:$G$33,0)),IFERROR(INDEX(Settings!$S$5:$S$64,MATCH(E158,Settings!$R$5:$R$64,0))/HomeINR,1))))</f>
        <v/>
      </c>
      <c r="Q158" s="34" t="str">
        <f aca="false">IF(D158="","",D158*P158)</f>
        <v/>
      </c>
      <c r="R158" s="34" t="str">
        <f aca="false">IF(I158="","",I158*P158)</f>
        <v/>
      </c>
      <c r="S158" s="33" t="n">
        <f aca="false">IF(H158="Cancelled",0,IF(R158&lt;&gt;"",R158,IF(Q158&lt;&gt;"",Q158,0)))</f>
        <v>0</v>
      </c>
      <c r="T158" s="45" t="str">
        <f aca="false">IF(S158=0,"",IF(SUM(AE158:AN158)=0,"⚠ nobody picked",COUNTIF(AE158:AN158,"&gt;0")&amp;" people"))</f>
        <v/>
      </c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60" t="n">
        <f aca="false">IF(OR($S158=0,Setup!$B$18=""),0,IF(OR($G158="",$G158="Everyone"),1,IF($G158="Custom",N(U158),IF(OR($G158=Setup!$B$18,AND(Setup!$C$18&lt;&gt;"",$G158=Setup!$C$18)),1,0))))</f>
        <v>0</v>
      </c>
      <c r="AF158" s="60" t="n">
        <f aca="false">IF(OR($S158=0,Setup!$B$19=""),0,IF(OR($G158="",$G158="Everyone"),1,IF($G158="Custom",N(V158),IF(OR($G158=Setup!$B$19,AND(Setup!$C$19&lt;&gt;"",$G158=Setup!$C$19)),1,0))))</f>
        <v>0</v>
      </c>
      <c r="AG158" s="60" t="n">
        <f aca="false">IF(OR($S158=0,Setup!$B$20=""),0,IF(OR($G158="",$G158="Everyone"),1,IF($G158="Custom",N(W158),IF(OR($G158=Setup!$B$20,AND(Setup!$C$20&lt;&gt;"",$G158=Setup!$C$20)),1,0))))</f>
        <v>0</v>
      </c>
      <c r="AH158" s="60" t="n">
        <f aca="false">IF(OR($S158=0,Setup!$B$21=""),0,IF(OR($G158="",$G158="Everyone"),1,IF($G158="Custom",N(X158),IF(OR($G158=Setup!$B$21,AND(Setup!$C$21&lt;&gt;"",$G158=Setup!$C$21)),1,0))))</f>
        <v>0</v>
      </c>
      <c r="AI158" s="60" t="n">
        <f aca="false">IF(OR($S158=0,Setup!$B$22=""),0,IF(OR($G158="",$G158="Everyone"),1,IF($G158="Custom",N(Y158),IF(OR($G158=Setup!$B$22,AND(Setup!$C$22&lt;&gt;"",$G158=Setup!$C$22)),1,0))))</f>
        <v>0</v>
      </c>
      <c r="AJ158" s="60" t="n">
        <f aca="false">IF(OR($S158=0,Setup!$B$23=""),0,IF(OR($G158="",$G158="Everyone"),1,IF($G158="Custom",N(Z158),IF(OR($G158=Setup!$B$23,AND(Setup!$C$23&lt;&gt;"",$G158=Setup!$C$23)),1,0))))</f>
        <v>0</v>
      </c>
      <c r="AK158" s="60" t="n">
        <f aca="false">IF(OR($S158=0,Setup!$B$24=""),0,IF(OR($G158="",$G158="Everyone"),1,IF($G158="Custom",N(AA158),IF(OR($G158=Setup!$B$24,AND(Setup!$C$24&lt;&gt;"",$G158=Setup!$C$24)),1,0))))</f>
        <v>0</v>
      </c>
      <c r="AL158" s="60" t="n">
        <f aca="false">IF(OR($S158=0,Setup!$B$25=""),0,IF(OR($G158="",$G158="Everyone"),1,IF($G158="Custom",N(AB158),IF(OR($G158=Setup!$B$25,AND(Setup!$C$25&lt;&gt;"",$G158=Setup!$C$25)),1,0))))</f>
        <v>0</v>
      </c>
      <c r="AM158" s="60" t="n">
        <f aca="false">IF(OR($S158=0,Setup!$B$26=""),0,IF(OR($G158="",$G158="Everyone"),1,IF($G158="Custom",N(AC158),IF(OR($G158=Setup!$B$26,AND(Setup!$C$26&lt;&gt;"",$G158=Setup!$C$26)),1,0))))</f>
        <v>0</v>
      </c>
      <c r="AN158" s="60" t="n">
        <f aca="false">IF(OR($S158=0,Setup!$B$27=""),0,IF(OR($G158="",$G158="Everyone"),1,IF($G158="Custom",N(AD158),IF(OR($G158=Setup!$B$27,AND(Setup!$C$27&lt;&gt;"",$G158=Setup!$C$27)),1,0))))</f>
        <v>0</v>
      </c>
      <c r="AO158" s="60" t="n">
        <f aca="false">IF(SUM(AE158:AN158)=0,1,SUM(AE158:AN158))</f>
        <v>1</v>
      </c>
      <c r="AP158" s="60" t="n">
        <f aca="false">IF(H158="Paid",1,0)</f>
        <v>0</v>
      </c>
      <c r="AQ158" s="60" t="n">
        <f aca="false">IF(AND(S158&gt;0,SUM(AE158:AN158)=0),S158,0)</f>
        <v>0</v>
      </c>
      <c r="AR158" s="60" t="str">
        <f aca="false">IF(AND(N158&lt;&gt;"",TodayDay&lt;&gt;"",N158=TodayDay),COUNTIF($N$6:N158,TodayDay),"")</f>
        <v/>
      </c>
      <c r="AS158" s="60" t="n">
        <f aca="false">IF(B158="",0,IF(COUNTIFS(Settings!$A$5:$A$29,B158,Settings!$B$5:$B$29,"Yes")&gt;0,1,0))</f>
        <v>0</v>
      </c>
      <c r="AT158" s="61" t="n">
        <f aca="false">IF(OR(N158="",TodayDay=""),IF(N158="",S158,0),IF(N158&lt;TodayDay,S158,0))</f>
        <v>0</v>
      </c>
    </row>
    <row r="159" customFormat="false" ht="15" hidden="false" customHeight="false" outlineLevel="0" collapsed="false">
      <c r="A159" s="23"/>
      <c r="B159" s="23"/>
      <c r="C159" s="23"/>
      <c r="D159" s="56"/>
      <c r="E159" s="23"/>
      <c r="F159" s="23"/>
      <c r="G159" s="23"/>
      <c r="H159" s="23"/>
      <c r="I159" s="56"/>
      <c r="J159" s="23"/>
      <c r="K159" s="28"/>
      <c r="L159" s="23"/>
      <c r="M159" s="23"/>
      <c r="N159" s="25" t="str">
        <f aca="false">IF(A159="","",IF(LEFT(A159,3)="Pre",0,IFERROR(VALUE(MID(A159,5,FIND(" ",A159&amp;" ",5)-5)),"")))</f>
        <v/>
      </c>
      <c r="O159" s="57" t="str">
        <f aca="false">IF(N159="","",IF(N159=0,"Before trip",IF(TripStart="","",TripStart+N159-1)))</f>
        <v/>
      </c>
      <c r="P159" s="58" t="str">
        <f aca="false">IF(AND(D159="",I159=""),"",IF(OR(E159="",E159=HomeCcy),1,IFERROR(INDEX(Setup!$J$26:$J$33,MATCH(E159,Setup!$G$26:$G$33,0)),IFERROR(INDEX(Settings!$S$5:$S$64,MATCH(E159,Settings!$R$5:$R$64,0))/HomeINR,1))))</f>
        <v/>
      </c>
      <c r="Q159" s="34" t="str">
        <f aca="false">IF(D159="","",D159*P159)</f>
        <v/>
      </c>
      <c r="R159" s="34" t="str">
        <f aca="false">IF(I159="","",I159*P159)</f>
        <v/>
      </c>
      <c r="S159" s="33" t="n">
        <f aca="false">IF(H159="Cancelled",0,IF(R159&lt;&gt;"",R159,IF(Q159&lt;&gt;"",Q159,0)))</f>
        <v>0</v>
      </c>
      <c r="T159" s="45" t="str">
        <f aca="false">IF(S159=0,"",IF(SUM(AE159:AN159)=0,"⚠ nobody picked",COUNTIF(AE159:AN159,"&gt;0")&amp;" people"))</f>
        <v/>
      </c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60" t="n">
        <f aca="false">IF(OR($S159=0,Setup!$B$18=""),0,IF(OR($G159="",$G159="Everyone"),1,IF($G159="Custom",N(U159),IF(OR($G159=Setup!$B$18,AND(Setup!$C$18&lt;&gt;"",$G159=Setup!$C$18)),1,0))))</f>
        <v>0</v>
      </c>
      <c r="AF159" s="60" t="n">
        <f aca="false">IF(OR($S159=0,Setup!$B$19=""),0,IF(OR($G159="",$G159="Everyone"),1,IF($G159="Custom",N(V159),IF(OR($G159=Setup!$B$19,AND(Setup!$C$19&lt;&gt;"",$G159=Setup!$C$19)),1,0))))</f>
        <v>0</v>
      </c>
      <c r="AG159" s="60" t="n">
        <f aca="false">IF(OR($S159=0,Setup!$B$20=""),0,IF(OR($G159="",$G159="Everyone"),1,IF($G159="Custom",N(W159),IF(OR($G159=Setup!$B$20,AND(Setup!$C$20&lt;&gt;"",$G159=Setup!$C$20)),1,0))))</f>
        <v>0</v>
      </c>
      <c r="AH159" s="60" t="n">
        <f aca="false">IF(OR($S159=0,Setup!$B$21=""),0,IF(OR($G159="",$G159="Everyone"),1,IF($G159="Custom",N(X159),IF(OR($G159=Setup!$B$21,AND(Setup!$C$21&lt;&gt;"",$G159=Setup!$C$21)),1,0))))</f>
        <v>0</v>
      </c>
      <c r="AI159" s="60" t="n">
        <f aca="false">IF(OR($S159=0,Setup!$B$22=""),0,IF(OR($G159="",$G159="Everyone"),1,IF($G159="Custom",N(Y159),IF(OR($G159=Setup!$B$22,AND(Setup!$C$22&lt;&gt;"",$G159=Setup!$C$22)),1,0))))</f>
        <v>0</v>
      </c>
      <c r="AJ159" s="60" t="n">
        <f aca="false">IF(OR($S159=0,Setup!$B$23=""),0,IF(OR($G159="",$G159="Everyone"),1,IF($G159="Custom",N(Z159),IF(OR($G159=Setup!$B$23,AND(Setup!$C$23&lt;&gt;"",$G159=Setup!$C$23)),1,0))))</f>
        <v>0</v>
      </c>
      <c r="AK159" s="60" t="n">
        <f aca="false">IF(OR($S159=0,Setup!$B$24=""),0,IF(OR($G159="",$G159="Everyone"),1,IF($G159="Custom",N(AA159),IF(OR($G159=Setup!$B$24,AND(Setup!$C$24&lt;&gt;"",$G159=Setup!$C$24)),1,0))))</f>
        <v>0</v>
      </c>
      <c r="AL159" s="60" t="n">
        <f aca="false">IF(OR($S159=0,Setup!$B$25=""),0,IF(OR($G159="",$G159="Everyone"),1,IF($G159="Custom",N(AB159),IF(OR($G159=Setup!$B$25,AND(Setup!$C$25&lt;&gt;"",$G159=Setup!$C$25)),1,0))))</f>
        <v>0</v>
      </c>
      <c r="AM159" s="60" t="n">
        <f aca="false">IF(OR($S159=0,Setup!$B$26=""),0,IF(OR($G159="",$G159="Everyone"),1,IF($G159="Custom",N(AC159),IF(OR($G159=Setup!$B$26,AND(Setup!$C$26&lt;&gt;"",$G159=Setup!$C$26)),1,0))))</f>
        <v>0</v>
      </c>
      <c r="AN159" s="60" t="n">
        <f aca="false">IF(OR($S159=0,Setup!$B$27=""),0,IF(OR($G159="",$G159="Everyone"),1,IF($G159="Custom",N(AD159),IF(OR($G159=Setup!$B$27,AND(Setup!$C$27&lt;&gt;"",$G159=Setup!$C$27)),1,0))))</f>
        <v>0</v>
      </c>
      <c r="AO159" s="60" t="n">
        <f aca="false">IF(SUM(AE159:AN159)=0,1,SUM(AE159:AN159))</f>
        <v>1</v>
      </c>
      <c r="AP159" s="60" t="n">
        <f aca="false">IF(H159="Paid",1,0)</f>
        <v>0</v>
      </c>
      <c r="AQ159" s="60" t="n">
        <f aca="false">IF(AND(S159&gt;0,SUM(AE159:AN159)=0),S159,0)</f>
        <v>0</v>
      </c>
      <c r="AR159" s="60" t="str">
        <f aca="false">IF(AND(N159&lt;&gt;"",TodayDay&lt;&gt;"",N159=TodayDay),COUNTIF($N$6:N159,TodayDay),"")</f>
        <v/>
      </c>
      <c r="AS159" s="60" t="n">
        <f aca="false">IF(B159="",0,IF(COUNTIFS(Settings!$A$5:$A$29,B159,Settings!$B$5:$B$29,"Yes")&gt;0,1,0))</f>
        <v>0</v>
      </c>
      <c r="AT159" s="61" t="n">
        <f aca="false">IF(OR(N159="",TodayDay=""),IF(N159="",S159,0),IF(N159&lt;TodayDay,S159,0))</f>
        <v>0</v>
      </c>
    </row>
    <row r="160" customFormat="false" ht="15" hidden="false" customHeight="false" outlineLevel="0" collapsed="false">
      <c r="A160" s="23"/>
      <c r="B160" s="23"/>
      <c r="C160" s="23"/>
      <c r="D160" s="56"/>
      <c r="E160" s="23"/>
      <c r="F160" s="23"/>
      <c r="G160" s="23"/>
      <c r="H160" s="23"/>
      <c r="I160" s="56"/>
      <c r="J160" s="23"/>
      <c r="K160" s="28"/>
      <c r="L160" s="23"/>
      <c r="M160" s="23"/>
      <c r="N160" s="25" t="str">
        <f aca="false">IF(A160="","",IF(LEFT(A160,3)="Pre",0,IFERROR(VALUE(MID(A160,5,FIND(" ",A160&amp;" ",5)-5)),"")))</f>
        <v/>
      </c>
      <c r="O160" s="57" t="str">
        <f aca="false">IF(N160="","",IF(N160=0,"Before trip",IF(TripStart="","",TripStart+N160-1)))</f>
        <v/>
      </c>
      <c r="P160" s="58" t="str">
        <f aca="false">IF(AND(D160="",I160=""),"",IF(OR(E160="",E160=HomeCcy),1,IFERROR(INDEX(Setup!$J$26:$J$33,MATCH(E160,Setup!$G$26:$G$33,0)),IFERROR(INDEX(Settings!$S$5:$S$64,MATCH(E160,Settings!$R$5:$R$64,0))/HomeINR,1))))</f>
        <v/>
      </c>
      <c r="Q160" s="34" t="str">
        <f aca="false">IF(D160="","",D160*P160)</f>
        <v/>
      </c>
      <c r="R160" s="34" t="str">
        <f aca="false">IF(I160="","",I160*P160)</f>
        <v/>
      </c>
      <c r="S160" s="33" t="n">
        <f aca="false">IF(H160="Cancelled",0,IF(R160&lt;&gt;"",R160,IF(Q160&lt;&gt;"",Q160,0)))</f>
        <v>0</v>
      </c>
      <c r="T160" s="45" t="str">
        <f aca="false">IF(S160=0,"",IF(SUM(AE160:AN160)=0,"⚠ nobody picked",COUNTIF(AE160:AN160,"&gt;0")&amp;" people"))</f>
        <v/>
      </c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60" t="n">
        <f aca="false">IF(OR($S160=0,Setup!$B$18=""),0,IF(OR($G160="",$G160="Everyone"),1,IF($G160="Custom",N(U160),IF(OR($G160=Setup!$B$18,AND(Setup!$C$18&lt;&gt;"",$G160=Setup!$C$18)),1,0))))</f>
        <v>0</v>
      </c>
      <c r="AF160" s="60" t="n">
        <f aca="false">IF(OR($S160=0,Setup!$B$19=""),0,IF(OR($G160="",$G160="Everyone"),1,IF($G160="Custom",N(V160),IF(OR($G160=Setup!$B$19,AND(Setup!$C$19&lt;&gt;"",$G160=Setup!$C$19)),1,0))))</f>
        <v>0</v>
      </c>
      <c r="AG160" s="60" t="n">
        <f aca="false">IF(OR($S160=0,Setup!$B$20=""),0,IF(OR($G160="",$G160="Everyone"),1,IF($G160="Custom",N(W160),IF(OR($G160=Setup!$B$20,AND(Setup!$C$20&lt;&gt;"",$G160=Setup!$C$20)),1,0))))</f>
        <v>0</v>
      </c>
      <c r="AH160" s="60" t="n">
        <f aca="false">IF(OR($S160=0,Setup!$B$21=""),0,IF(OR($G160="",$G160="Everyone"),1,IF($G160="Custom",N(X160),IF(OR($G160=Setup!$B$21,AND(Setup!$C$21&lt;&gt;"",$G160=Setup!$C$21)),1,0))))</f>
        <v>0</v>
      </c>
      <c r="AI160" s="60" t="n">
        <f aca="false">IF(OR($S160=0,Setup!$B$22=""),0,IF(OR($G160="",$G160="Everyone"),1,IF($G160="Custom",N(Y160),IF(OR($G160=Setup!$B$22,AND(Setup!$C$22&lt;&gt;"",$G160=Setup!$C$22)),1,0))))</f>
        <v>0</v>
      </c>
      <c r="AJ160" s="60" t="n">
        <f aca="false">IF(OR($S160=0,Setup!$B$23=""),0,IF(OR($G160="",$G160="Everyone"),1,IF($G160="Custom",N(Z160),IF(OR($G160=Setup!$B$23,AND(Setup!$C$23&lt;&gt;"",$G160=Setup!$C$23)),1,0))))</f>
        <v>0</v>
      </c>
      <c r="AK160" s="60" t="n">
        <f aca="false">IF(OR($S160=0,Setup!$B$24=""),0,IF(OR($G160="",$G160="Everyone"),1,IF($G160="Custom",N(AA160),IF(OR($G160=Setup!$B$24,AND(Setup!$C$24&lt;&gt;"",$G160=Setup!$C$24)),1,0))))</f>
        <v>0</v>
      </c>
      <c r="AL160" s="60" t="n">
        <f aca="false">IF(OR($S160=0,Setup!$B$25=""),0,IF(OR($G160="",$G160="Everyone"),1,IF($G160="Custom",N(AB160),IF(OR($G160=Setup!$B$25,AND(Setup!$C$25&lt;&gt;"",$G160=Setup!$C$25)),1,0))))</f>
        <v>0</v>
      </c>
      <c r="AM160" s="60" t="n">
        <f aca="false">IF(OR($S160=0,Setup!$B$26=""),0,IF(OR($G160="",$G160="Everyone"),1,IF($G160="Custom",N(AC160),IF(OR($G160=Setup!$B$26,AND(Setup!$C$26&lt;&gt;"",$G160=Setup!$C$26)),1,0))))</f>
        <v>0</v>
      </c>
      <c r="AN160" s="60" t="n">
        <f aca="false">IF(OR($S160=0,Setup!$B$27=""),0,IF(OR($G160="",$G160="Everyone"),1,IF($G160="Custom",N(AD160),IF(OR($G160=Setup!$B$27,AND(Setup!$C$27&lt;&gt;"",$G160=Setup!$C$27)),1,0))))</f>
        <v>0</v>
      </c>
      <c r="AO160" s="60" t="n">
        <f aca="false">IF(SUM(AE160:AN160)=0,1,SUM(AE160:AN160))</f>
        <v>1</v>
      </c>
      <c r="AP160" s="60" t="n">
        <f aca="false">IF(H160="Paid",1,0)</f>
        <v>0</v>
      </c>
      <c r="AQ160" s="60" t="n">
        <f aca="false">IF(AND(S160&gt;0,SUM(AE160:AN160)=0),S160,0)</f>
        <v>0</v>
      </c>
      <c r="AR160" s="60" t="str">
        <f aca="false">IF(AND(N160&lt;&gt;"",TodayDay&lt;&gt;"",N160=TodayDay),COUNTIF($N$6:N160,TodayDay),"")</f>
        <v/>
      </c>
      <c r="AS160" s="60" t="n">
        <f aca="false">IF(B160="",0,IF(COUNTIFS(Settings!$A$5:$A$29,B160,Settings!$B$5:$B$29,"Yes")&gt;0,1,0))</f>
        <v>0</v>
      </c>
      <c r="AT160" s="61" t="n">
        <f aca="false">IF(OR(N160="",TodayDay=""),IF(N160="",S160,0),IF(N160&lt;TodayDay,S160,0))</f>
        <v>0</v>
      </c>
    </row>
    <row r="161" customFormat="false" ht="15" hidden="false" customHeight="false" outlineLevel="0" collapsed="false">
      <c r="A161" s="23"/>
      <c r="B161" s="23"/>
      <c r="C161" s="23"/>
      <c r="D161" s="56"/>
      <c r="E161" s="23"/>
      <c r="F161" s="23"/>
      <c r="G161" s="23"/>
      <c r="H161" s="23"/>
      <c r="I161" s="56"/>
      <c r="J161" s="23"/>
      <c r="K161" s="28"/>
      <c r="L161" s="23"/>
      <c r="M161" s="23"/>
      <c r="N161" s="25" t="str">
        <f aca="false">IF(A161="","",IF(LEFT(A161,3)="Pre",0,IFERROR(VALUE(MID(A161,5,FIND(" ",A161&amp;" ",5)-5)),"")))</f>
        <v/>
      </c>
      <c r="O161" s="57" t="str">
        <f aca="false">IF(N161="","",IF(N161=0,"Before trip",IF(TripStart="","",TripStart+N161-1)))</f>
        <v/>
      </c>
      <c r="P161" s="58" t="str">
        <f aca="false">IF(AND(D161="",I161=""),"",IF(OR(E161="",E161=HomeCcy),1,IFERROR(INDEX(Setup!$J$26:$J$33,MATCH(E161,Setup!$G$26:$G$33,0)),IFERROR(INDEX(Settings!$S$5:$S$64,MATCH(E161,Settings!$R$5:$R$64,0))/HomeINR,1))))</f>
        <v/>
      </c>
      <c r="Q161" s="34" t="str">
        <f aca="false">IF(D161="","",D161*P161)</f>
        <v/>
      </c>
      <c r="R161" s="34" t="str">
        <f aca="false">IF(I161="","",I161*P161)</f>
        <v/>
      </c>
      <c r="S161" s="33" t="n">
        <f aca="false">IF(H161="Cancelled",0,IF(R161&lt;&gt;"",R161,IF(Q161&lt;&gt;"",Q161,0)))</f>
        <v>0</v>
      </c>
      <c r="T161" s="45" t="str">
        <f aca="false">IF(S161=0,"",IF(SUM(AE161:AN161)=0,"⚠ nobody picked",COUNTIF(AE161:AN161,"&gt;0")&amp;" people"))</f>
        <v/>
      </c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60" t="n">
        <f aca="false">IF(OR($S161=0,Setup!$B$18=""),0,IF(OR($G161="",$G161="Everyone"),1,IF($G161="Custom",N(U161),IF(OR($G161=Setup!$B$18,AND(Setup!$C$18&lt;&gt;"",$G161=Setup!$C$18)),1,0))))</f>
        <v>0</v>
      </c>
      <c r="AF161" s="60" t="n">
        <f aca="false">IF(OR($S161=0,Setup!$B$19=""),0,IF(OR($G161="",$G161="Everyone"),1,IF($G161="Custom",N(V161),IF(OR($G161=Setup!$B$19,AND(Setup!$C$19&lt;&gt;"",$G161=Setup!$C$19)),1,0))))</f>
        <v>0</v>
      </c>
      <c r="AG161" s="60" t="n">
        <f aca="false">IF(OR($S161=0,Setup!$B$20=""),0,IF(OR($G161="",$G161="Everyone"),1,IF($G161="Custom",N(W161),IF(OR($G161=Setup!$B$20,AND(Setup!$C$20&lt;&gt;"",$G161=Setup!$C$20)),1,0))))</f>
        <v>0</v>
      </c>
      <c r="AH161" s="60" t="n">
        <f aca="false">IF(OR($S161=0,Setup!$B$21=""),0,IF(OR($G161="",$G161="Everyone"),1,IF($G161="Custom",N(X161),IF(OR($G161=Setup!$B$21,AND(Setup!$C$21&lt;&gt;"",$G161=Setup!$C$21)),1,0))))</f>
        <v>0</v>
      </c>
      <c r="AI161" s="60" t="n">
        <f aca="false">IF(OR($S161=0,Setup!$B$22=""),0,IF(OR($G161="",$G161="Everyone"),1,IF($G161="Custom",N(Y161),IF(OR($G161=Setup!$B$22,AND(Setup!$C$22&lt;&gt;"",$G161=Setup!$C$22)),1,0))))</f>
        <v>0</v>
      </c>
      <c r="AJ161" s="60" t="n">
        <f aca="false">IF(OR($S161=0,Setup!$B$23=""),0,IF(OR($G161="",$G161="Everyone"),1,IF($G161="Custom",N(Z161),IF(OR($G161=Setup!$B$23,AND(Setup!$C$23&lt;&gt;"",$G161=Setup!$C$23)),1,0))))</f>
        <v>0</v>
      </c>
      <c r="AK161" s="60" t="n">
        <f aca="false">IF(OR($S161=0,Setup!$B$24=""),0,IF(OR($G161="",$G161="Everyone"),1,IF($G161="Custom",N(AA161),IF(OR($G161=Setup!$B$24,AND(Setup!$C$24&lt;&gt;"",$G161=Setup!$C$24)),1,0))))</f>
        <v>0</v>
      </c>
      <c r="AL161" s="60" t="n">
        <f aca="false">IF(OR($S161=0,Setup!$B$25=""),0,IF(OR($G161="",$G161="Everyone"),1,IF($G161="Custom",N(AB161),IF(OR($G161=Setup!$B$25,AND(Setup!$C$25&lt;&gt;"",$G161=Setup!$C$25)),1,0))))</f>
        <v>0</v>
      </c>
      <c r="AM161" s="60" t="n">
        <f aca="false">IF(OR($S161=0,Setup!$B$26=""),0,IF(OR($G161="",$G161="Everyone"),1,IF($G161="Custom",N(AC161),IF(OR($G161=Setup!$B$26,AND(Setup!$C$26&lt;&gt;"",$G161=Setup!$C$26)),1,0))))</f>
        <v>0</v>
      </c>
      <c r="AN161" s="60" t="n">
        <f aca="false">IF(OR($S161=0,Setup!$B$27=""),0,IF(OR($G161="",$G161="Everyone"),1,IF($G161="Custom",N(AD161),IF(OR($G161=Setup!$B$27,AND(Setup!$C$27&lt;&gt;"",$G161=Setup!$C$27)),1,0))))</f>
        <v>0</v>
      </c>
      <c r="AO161" s="60" t="n">
        <f aca="false">IF(SUM(AE161:AN161)=0,1,SUM(AE161:AN161))</f>
        <v>1</v>
      </c>
      <c r="AP161" s="60" t="n">
        <f aca="false">IF(H161="Paid",1,0)</f>
        <v>0</v>
      </c>
      <c r="AQ161" s="60" t="n">
        <f aca="false">IF(AND(S161&gt;0,SUM(AE161:AN161)=0),S161,0)</f>
        <v>0</v>
      </c>
      <c r="AR161" s="60" t="str">
        <f aca="false">IF(AND(N161&lt;&gt;"",TodayDay&lt;&gt;"",N161=TodayDay),COUNTIF($N$6:N161,TodayDay),"")</f>
        <v/>
      </c>
      <c r="AS161" s="60" t="n">
        <f aca="false">IF(B161="",0,IF(COUNTIFS(Settings!$A$5:$A$29,B161,Settings!$B$5:$B$29,"Yes")&gt;0,1,0))</f>
        <v>0</v>
      </c>
      <c r="AT161" s="61" t="n">
        <f aca="false">IF(OR(N161="",TodayDay=""),IF(N161="",S161,0),IF(N161&lt;TodayDay,S161,0))</f>
        <v>0</v>
      </c>
    </row>
    <row r="162" customFormat="false" ht="15" hidden="false" customHeight="false" outlineLevel="0" collapsed="false">
      <c r="A162" s="23"/>
      <c r="B162" s="23"/>
      <c r="C162" s="23"/>
      <c r="D162" s="56"/>
      <c r="E162" s="23"/>
      <c r="F162" s="23"/>
      <c r="G162" s="23"/>
      <c r="H162" s="23"/>
      <c r="I162" s="56"/>
      <c r="J162" s="23"/>
      <c r="K162" s="28"/>
      <c r="L162" s="23"/>
      <c r="M162" s="23"/>
      <c r="N162" s="25" t="str">
        <f aca="false">IF(A162="","",IF(LEFT(A162,3)="Pre",0,IFERROR(VALUE(MID(A162,5,FIND(" ",A162&amp;" ",5)-5)),"")))</f>
        <v/>
      </c>
      <c r="O162" s="57" t="str">
        <f aca="false">IF(N162="","",IF(N162=0,"Before trip",IF(TripStart="","",TripStart+N162-1)))</f>
        <v/>
      </c>
      <c r="P162" s="58" t="str">
        <f aca="false">IF(AND(D162="",I162=""),"",IF(OR(E162="",E162=HomeCcy),1,IFERROR(INDEX(Setup!$J$26:$J$33,MATCH(E162,Setup!$G$26:$G$33,0)),IFERROR(INDEX(Settings!$S$5:$S$64,MATCH(E162,Settings!$R$5:$R$64,0))/HomeINR,1))))</f>
        <v/>
      </c>
      <c r="Q162" s="34" t="str">
        <f aca="false">IF(D162="","",D162*P162)</f>
        <v/>
      </c>
      <c r="R162" s="34" t="str">
        <f aca="false">IF(I162="","",I162*P162)</f>
        <v/>
      </c>
      <c r="S162" s="33" t="n">
        <f aca="false">IF(H162="Cancelled",0,IF(R162&lt;&gt;"",R162,IF(Q162&lt;&gt;"",Q162,0)))</f>
        <v>0</v>
      </c>
      <c r="T162" s="45" t="str">
        <f aca="false">IF(S162=0,"",IF(SUM(AE162:AN162)=0,"⚠ nobody picked",COUNTIF(AE162:AN162,"&gt;0")&amp;" people"))</f>
        <v/>
      </c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60" t="n">
        <f aca="false">IF(OR($S162=0,Setup!$B$18=""),0,IF(OR($G162="",$G162="Everyone"),1,IF($G162="Custom",N(U162),IF(OR($G162=Setup!$B$18,AND(Setup!$C$18&lt;&gt;"",$G162=Setup!$C$18)),1,0))))</f>
        <v>0</v>
      </c>
      <c r="AF162" s="60" t="n">
        <f aca="false">IF(OR($S162=0,Setup!$B$19=""),0,IF(OR($G162="",$G162="Everyone"),1,IF($G162="Custom",N(V162),IF(OR($G162=Setup!$B$19,AND(Setup!$C$19&lt;&gt;"",$G162=Setup!$C$19)),1,0))))</f>
        <v>0</v>
      </c>
      <c r="AG162" s="60" t="n">
        <f aca="false">IF(OR($S162=0,Setup!$B$20=""),0,IF(OR($G162="",$G162="Everyone"),1,IF($G162="Custom",N(W162),IF(OR($G162=Setup!$B$20,AND(Setup!$C$20&lt;&gt;"",$G162=Setup!$C$20)),1,0))))</f>
        <v>0</v>
      </c>
      <c r="AH162" s="60" t="n">
        <f aca="false">IF(OR($S162=0,Setup!$B$21=""),0,IF(OR($G162="",$G162="Everyone"),1,IF($G162="Custom",N(X162),IF(OR($G162=Setup!$B$21,AND(Setup!$C$21&lt;&gt;"",$G162=Setup!$C$21)),1,0))))</f>
        <v>0</v>
      </c>
      <c r="AI162" s="60" t="n">
        <f aca="false">IF(OR($S162=0,Setup!$B$22=""),0,IF(OR($G162="",$G162="Everyone"),1,IF($G162="Custom",N(Y162),IF(OR($G162=Setup!$B$22,AND(Setup!$C$22&lt;&gt;"",$G162=Setup!$C$22)),1,0))))</f>
        <v>0</v>
      </c>
      <c r="AJ162" s="60" t="n">
        <f aca="false">IF(OR($S162=0,Setup!$B$23=""),0,IF(OR($G162="",$G162="Everyone"),1,IF($G162="Custom",N(Z162),IF(OR($G162=Setup!$B$23,AND(Setup!$C$23&lt;&gt;"",$G162=Setup!$C$23)),1,0))))</f>
        <v>0</v>
      </c>
      <c r="AK162" s="60" t="n">
        <f aca="false">IF(OR($S162=0,Setup!$B$24=""),0,IF(OR($G162="",$G162="Everyone"),1,IF($G162="Custom",N(AA162),IF(OR($G162=Setup!$B$24,AND(Setup!$C$24&lt;&gt;"",$G162=Setup!$C$24)),1,0))))</f>
        <v>0</v>
      </c>
      <c r="AL162" s="60" t="n">
        <f aca="false">IF(OR($S162=0,Setup!$B$25=""),0,IF(OR($G162="",$G162="Everyone"),1,IF($G162="Custom",N(AB162),IF(OR($G162=Setup!$B$25,AND(Setup!$C$25&lt;&gt;"",$G162=Setup!$C$25)),1,0))))</f>
        <v>0</v>
      </c>
      <c r="AM162" s="60" t="n">
        <f aca="false">IF(OR($S162=0,Setup!$B$26=""),0,IF(OR($G162="",$G162="Everyone"),1,IF($G162="Custom",N(AC162),IF(OR($G162=Setup!$B$26,AND(Setup!$C$26&lt;&gt;"",$G162=Setup!$C$26)),1,0))))</f>
        <v>0</v>
      </c>
      <c r="AN162" s="60" t="n">
        <f aca="false">IF(OR($S162=0,Setup!$B$27=""),0,IF(OR($G162="",$G162="Everyone"),1,IF($G162="Custom",N(AD162),IF(OR($G162=Setup!$B$27,AND(Setup!$C$27&lt;&gt;"",$G162=Setup!$C$27)),1,0))))</f>
        <v>0</v>
      </c>
      <c r="AO162" s="60" t="n">
        <f aca="false">IF(SUM(AE162:AN162)=0,1,SUM(AE162:AN162))</f>
        <v>1</v>
      </c>
      <c r="AP162" s="60" t="n">
        <f aca="false">IF(H162="Paid",1,0)</f>
        <v>0</v>
      </c>
      <c r="AQ162" s="60" t="n">
        <f aca="false">IF(AND(S162&gt;0,SUM(AE162:AN162)=0),S162,0)</f>
        <v>0</v>
      </c>
      <c r="AR162" s="60" t="str">
        <f aca="false">IF(AND(N162&lt;&gt;"",TodayDay&lt;&gt;"",N162=TodayDay),COUNTIF($N$6:N162,TodayDay),"")</f>
        <v/>
      </c>
      <c r="AS162" s="60" t="n">
        <f aca="false">IF(B162="",0,IF(COUNTIFS(Settings!$A$5:$A$29,B162,Settings!$B$5:$B$29,"Yes")&gt;0,1,0))</f>
        <v>0</v>
      </c>
      <c r="AT162" s="61" t="n">
        <f aca="false">IF(OR(N162="",TodayDay=""),IF(N162="",S162,0),IF(N162&lt;TodayDay,S162,0))</f>
        <v>0</v>
      </c>
    </row>
    <row r="163" customFormat="false" ht="15" hidden="false" customHeight="false" outlineLevel="0" collapsed="false">
      <c r="A163" s="23"/>
      <c r="B163" s="23"/>
      <c r="C163" s="23"/>
      <c r="D163" s="56"/>
      <c r="E163" s="23"/>
      <c r="F163" s="23"/>
      <c r="G163" s="23"/>
      <c r="H163" s="23"/>
      <c r="I163" s="56"/>
      <c r="J163" s="23"/>
      <c r="K163" s="28"/>
      <c r="L163" s="23"/>
      <c r="M163" s="23"/>
      <c r="N163" s="25" t="str">
        <f aca="false">IF(A163="","",IF(LEFT(A163,3)="Pre",0,IFERROR(VALUE(MID(A163,5,FIND(" ",A163&amp;" ",5)-5)),"")))</f>
        <v/>
      </c>
      <c r="O163" s="57" t="str">
        <f aca="false">IF(N163="","",IF(N163=0,"Before trip",IF(TripStart="","",TripStart+N163-1)))</f>
        <v/>
      </c>
      <c r="P163" s="58" t="str">
        <f aca="false">IF(AND(D163="",I163=""),"",IF(OR(E163="",E163=HomeCcy),1,IFERROR(INDEX(Setup!$J$26:$J$33,MATCH(E163,Setup!$G$26:$G$33,0)),IFERROR(INDEX(Settings!$S$5:$S$64,MATCH(E163,Settings!$R$5:$R$64,0))/HomeINR,1))))</f>
        <v/>
      </c>
      <c r="Q163" s="34" t="str">
        <f aca="false">IF(D163="","",D163*P163)</f>
        <v/>
      </c>
      <c r="R163" s="34" t="str">
        <f aca="false">IF(I163="","",I163*P163)</f>
        <v/>
      </c>
      <c r="S163" s="33" t="n">
        <f aca="false">IF(H163="Cancelled",0,IF(R163&lt;&gt;"",R163,IF(Q163&lt;&gt;"",Q163,0)))</f>
        <v>0</v>
      </c>
      <c r="T163" s="45" t="str">
        <f aca="false">IF(S163=0,"",IF(SUM(AE163:AN163)=0,"⚠ nobody picked",COUNTIF(AE163:AN163,"&gt;0")&amp;" people"))</f>
        <v/>
      </c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60" t="n">
        <f aca="false">IF(OR($S163=0,Setup!$B$18=""),0,IF(OR($G163="",$G163="Everyone"),1,IF($G163="Custom",N(U163),IF(OR($G163=Setup!$B$18,AND(Setup!$C$18&lt;&gt;"",$G163=Setup!$C$18)),1,0))))</f>
        <v>0</v>
      </c>
      <c r="AF163" s="60" t="n">
        <f aca="false">IF(OR($S163=0,Setup!$B$19=""),0,IF(OR($G163="",$G163="Everyone"),1,IF($G163="Custom",N(V163),IF(OR($G163=Setup!$B$19,AND(Setup!$C$19&lt;&gt;"",$G163=Setup!$C$19)),1,0))))</f>
        <v>0</v>
      </c>
      <c r="AG163" s="60" t="n">
        <f aca="false">IF(OR($S163=0,Setup!$B$20=""),0,IF(OR($G163="",$G163="Everyone"),1,IF($G163="Custom",N(W163),IF(OR($G163=Setup!$B$20,AND(Setup!$C$20&lt;&gt;"",$G163=Setup!$C$20)),1,0))))</f>
        <v>0</v>
      </c>
      <c r="AH163" s="60" t="n">
        <f aca="false">IF(OR($S163=0,Setup!$B$21=""),0,IF(OR($G163="",$G163="Everyone"),1,IF($G163="Custom",N(X163),IF(OR($G163=Setup!$B$21,AND(Setup!$C$21&lt;&gt;"",$G163=Setup!$C$21)),1,0))))</f>
        <v>0</v>
      </c>
      <c r="AI163" s="60" t="n">
        <f aca="false">IF(OR($S163=0,Setup!$B$22=""),0,IF(OR($G163="",$G163="Everyone"),1,IF($G163="Custom",N(Y163),IF(OR($G163=Setup!$B$22,AND(Setup!$C$22&lt;&gt;"",$G163=Setup!$C$22)),1,0))))</f>
        <v>0</v>
      </c>
      <c r="AJ163" s="60" t="n">
        <f aca="false">IF(OR($S163=0,Setup!$B$23=""),0,IF(OR($G163="",$G163="Everyone"),1,IF($G163="Custom",N(Z163),IF(OR($G163=Setup!$B$23,AND(Setup!$C$23&lt;&gt;"",$G163=Setup!$C$23)),1,0))))</f>
        <v>0</v>
      </c>
      <c r="AK163" s="60" t="n">
        <f aca="false">IF(OR($S163=0,Setup!$B$24=""),0,IF(OR($G163="",$G163="Everyone"),1,IF($G163="Custom",N(AA163),IF(OR($G163=Setup!$B$24,AND(Setup!$C$24&lt;&gt;"",$G163=Setup!$C$24)),1,0))))</f>
        <v>0</v>
      </c>
      <c r="AL163" s="60" t="n">
        <f aca="false">IF(OR($S163=0,Setup!$B$25=""),0,IF(OR($G163="",$G163="Everyone"),1,IF($G163="Custom",N(AB163),IF(OR($G163=Setup!$B$25,AND(Setup!$C$25&lt;&gt;"",$G163=Setup!$C$25)),1,0))))</f>
        <v>0</v>
      </c>
      <c r="AM163" s="60" t="n">
        <f aca="false">IF(OR($S163=0,Setup!$B$26=""),0,IF(OR($G163="",$G163="Everyone"),1,IF($G163="Custom",N(AC163),IF(OR($G163=Setup!$B$26,AND(Setup!$C$26&lt;&gt;"",$G163=Setup!$C$26)),1,0))))</f>
        <v>0</v>
      </c>
      <c r="AN163" s="60" t="n">
        <f aca="false">IF(OR($S163=0,Setup!$B$27=""),0,IF(OR($G163="",$G163="Everyone"),1,IF($G163="Custom",N(AD163),IF(OR($G163=Setup!$B$27,AND(Setup!$C$27&lt;&gt;"",$G163=Setup!$C$27)),1,0))))</f>
        <v>0</v>
      </c>
      <c r="AO163" s="60" t="n">
        <f aca="false">IF(SUM(AE163:AN163)=0,1,SUM(AE163:AN163))</f>
        <v>1</v>
      </c>
      <c r="AP163" s="60" t="n">
        <f aca="false">IF(H163="Paid",1,0)</f>
        <v>0</v>
      </c>
      <c r="AQ163" s="60" t="n">
        <f aca="false">IF(AND(S163&gt;0,SUM(AE163:AN163)=0),S163,0)</f>
        <v>0</v>
      </c>
      <c r="AR163" s="60" t="str">
        <f aca="false">IF(AND(N163&lt;&gt;"",TodayDay&lt;&gt;"",N163=TodayDay),COUNTIF($N$6:N163,TodayDay),"")</f>
        <v/>
      </c>
      <c r="AS163" s="60" t="n">
        <f aca="false">IF(B163="",0,IF(COUNTIFS(Settings!$A$5:$A$29,B163,Settings!$B$5:$B$29,"Yes")&gt;0,1,0))</f>
        <v>0</v>
      </c>
      <c r="AT163" s="61" t="n">
        <f aca="false">IF(OR(N163="",TodayDay=""),IF(N163="",S163,0),IF(N163&lt;TodayDay,S163,0))</f>
        <v>0</v>
      </c>
    </row>
    <row r="164" customFormat="false" ht="15" hidden="false" customHeight="false" outlineLevel="0" collapsed="false">
      <c r="A164" s="23"/>
      <c r="B164" s="23"/>
      <c r="C164" s="23"/>
      <c r="D164" s="56"/>
      <c r="E164" s="23"/>
      <c r="F164" s="23"/>
      <c r="G164" s="23"/>
      <c r="H164" s="23"/>
      <c r="I164" s="56"/>
      <c r="J164" s="23"/>
      <c r="K164" s="28"/>
      <c r="L164" s="23"/>
      <c r="M164" s="23"/>
      <c r="N164" s="25" t="str">
        <f aca="false">IF(A164="","",IF(LEFT(A164,3)="Pre",0,IFERROR(VALUE(MID(A164,5,FIND(" ",A164&amp;" ",5)-5)),"")))</f>
        <v/>
      </c>
      <c r="O164" s="57" t="str">
        <f aca="false">IF(N164="","",IF(N164=0,"Before trip",IF(TripStart="","",TripStart+N164-1)))</f>
        <v/>
      </c>
      <c r="P164" s="58" t="str">
        <f aca="false">IF(AND(D164="",I164=""),"",IF(OR(E164="",E164=HomeCcy),1,IFERROR(INDEX(Setup!$J$26:$J$33,MATCH(E164,Setup!$G$26:$G$33,0)),IFERROR(INDEX(Settings!$S$5:$S$64,MATCH(E164,Settings!$R$5:$R$64,0))/HomeINR,1))))</f>
        <v/>
      </c>
      <c r="Q164" s="34" t="str">
        <f aca="false">IF(D164="","",D164*P164)</f>
        <v/>
      </c>
      <c r="R164" s="34" t="str">
        <f aca="false">IF(I164="","",I164*P164)</f>
        <v/>
      </c>
      <c r="S164" s="33" t="n">
        <f aca="false">IF(H164="Cancelled",0,IF(R164&lt;&gt;"",R164,IF(Q164&lt;&gt;"",Q164,0)))</f>
        <v>0</v>
      </c>
      <c r="T164" s="45" t="str">
        <f aca="false">IF(S164=0,"",IF(SUM(AE164:AN164)=0,"⚠ nobody picked",COUNTIF(AE164:AN164,"&gt;0")&amp;" people"))</f>
        <v/>
      </c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60" t="n">
        <f aca="false">IF(OR($S164=0,Setup!$B$18=""),0,IF(OR($G164="",$G164="Everyone"),1,IF($G164="Custom",N(U164),IF(OR($G164=Setup!$B$18,AND(Setup!$C$18&lt;&gt;"",$G164=Setup!$C$18)),1,0))))</f>
        <v>0</v>
      </c>
      <c r="AF164" s="60" t="n">
        <f aca="false">IF(OR($S164=0,Setup!$B$19=""),0,IF(OR($G164="",$G164="Everyone"),1,IF($G164="Custom",N(V164),IF(OR($G164=Setup!$B$19,AND(Setup!$C$19&lt;&gt;"",$G164=Setup!$C$19)),1,0))))</f>
        <v>0</v>
      </c>
      <c r="AG164" s="60" t="n">
        <f aca="false">IF(OR($S164=0,Setup!$B$20=""),0,IF(OR($G164="",$G164="Everyone"),1,IF($G164="Custom",N(W164),IF(OR($G164=Setup!$B$20,AND(Setup!$C$20&lt;&gt;"",$G164=Setup!$C$20)),1,0))))</f>
        <v>0</v>
      </c>
      <c r="AH164" s="60" t="n">
        <f aca="false">IF(OR($S164=0,Setup!$B$21=""),0,IF(OR($G164="",$G164="Everyone"),1,IF($G164="Custom",N(X164),IF(OR($G164=Setup!$B$21,AND(Setup!$C$21&lt;&gt;"",$G164=Setup!$C$21)),1,0))))</f>
        <v>0</v>
      </c>
      <c r="AI164" s="60" t="n">
        <f aca="false">IF(OR($S164=0,Setup!$B$22=""),0,IF(OR($G164="",$G164="Everyone"),1,IF($G164="Custom",N(Y164),IF(OR($G164=Setup!$B$22,AND(Setup!$C$22&lt;&gt;"",$G164=Setup!$C$22)),1,0))))</f>
        <v>0</v>
      </c>
      <c r="AJ164" s="60" t="n">
        <f aca="false">IF(OR($S164=0,Setup!$B$23=""),0,IF(OR($G164="",$G164="Everyone"),1,IF($G164="Custom",N(Z164),IF(OR($G164=Setup!$B$23,AND(Setup!$C$23&lt;&gt;"",$G164=Setup!$C$23)),1,0))))</f>
        <v>0</v>
      </c>
      <c r="AK164" s="60" t="n">
        <f aca="false">IF(OR($S164=0,Setup!$B$24=""),0,IF(OR($G164="",$G164="Everyone"),1,IF($G164="Custom",N(AA164),IF(OR($G164=Setup!$B$24,AND(Setup!$C$24&lt;&gt;"",$G164=Setup!$C$24)),1,0))))</f>
        <v>0</v>
      </c>
      <c r="AL164" s="60" t="n">
        <f aca="false">IF(OR($S164=0,Setup!$B$25=""),0,IF(OR($G164="",$G164="Everyone"),1,IF($G164="Custom",N(AB164),IF(OR($G164=Setup!$B$25,AND(Setup!$C$25&lt;&gt;"",$G164=Setup!$C$25)),1,0))))</f>
        <v>0</v>
      </c>
      <c r="AM164" s="60" t="n">
        <f aca="false">IF(OR($S164=0,Setup!$B$26=""),0,IF(OR($G164="",$G164="Everyone"),1,IF($G164="Custom",N(AC164),IF(OR($G164=Setup!$B$26,AND(Setup!$C$26&lt;&gt;"",$G164=Setup!$C$26)),1,0))))</f>
        <v>0</v>
      </c>
      <c r="AN164" s="60" t="n">
        <f aca="false">IF(OR($S164=0,Setup!$B$27=""),0,IF(OR($G164="",$G164="Everyone"),1,IF($G164="Custom",N(AD164),IF(OR($G164=Setup!$B$27,AND(Setup!$C$27&lt;&gt;"",$G164=Setup!$C$27)),1,0))))</f>
        <v>0</v>
      </c>
      <c r="AO164" s="60" t="n">
        <f aca="false">IF(SUM(AE164:AN164)=0,1,SUM(AE164:AN164))</f>
        <v>1</v>
      </c>
      <c r="AP164" s="60" t="n">
        <f aca="false">IF(H164="Paid",1,0)</f>
        <v>0</v>
      </c>
      <c r="AQ164" s="60" t="n">
        <f aca="false">IF(AND(S164&gt;0,SUM(AE164:AN164)=0),S164,0)</f>
        <v>0</v>
      </c>
      <c r="AR164" s="60" t="str">
        <f aca="false">IF(AND(N164&lt;&gt;"",TodayDay&lt;&gt;"",N164=TodayDay),COUNTIF($N$6:N164,TodayDay),"")</f>
        <v/>
      </c>
      <c r="AS164" s="60" t="n">
        <f aca="false">IF(B164="",0,IF(COUNTIFS(Settings!$A$5:$A$29,B164,Settings!$B$5:$B$29,"Yes")&gt;0,1,0))</f>
        <v>0</v>
      </c>
      <c r="AT164" s="61" t="n">
        <f aca="false">IF(OR(N164="",TodayDay=""),IF(N164="",S164,0),IF(N164&lt;TodayDay,S164,0))</f>
        <v>0</v>
      </c>
    </row>
    <row r="165" customFormat="false" ht="15" hidden="false" customHeight="false" outlineLevel="0" collapsed="false">
      <c r="A165" s="23"/>
      <c r="B165" s="23"/>
      <c r="C165" s="23"/>
      <c r="D165" s="56"/>
      <c r="E165" s="23"/>
      <c r="F165" s="23"/>
      <c r="G165" s="23"/>
      <c r="H165" s="23"/>
      <c r="I165" s="56"/>
      <c r="J165" s="23"/>
      <c r="K165" s="28"/>
      <c r="L165" s="23"/>
      <c r="M165" s="23"/>
      <c r="N165" s="25" t="str">
        <f aca="false">IF(A165="","",IF(LEFT(A165,3)="Pre",0,IFERROR(VALUE(MID(A165,5,FIND(" ",A165&amp;" ",5)-5)),"")))</f>
        <v/>
      </c>
      <c r="O165" s="57" t="str">
        <f aca="false">IF(N165="","",IF(N165=0,"Before trip",IF(TripStart="","",TripStart+N165-1)))</f>
        <v/>
      </c>
      <c r="P165" s="58" t="str">
        <f aca="false">IF(AND(D165="",I165=""),"",IF(OR(E165="",E165=HomeCcy),1,IFERROR(INDEX(Setup!$J$26:$J$33,MATCH(E165,Setup!$G$26:$G$33,0)),IFERROR(INDEX(Settings!$S$5:$S$64,MATCH(E165,Settings!$R$5:$R$64,0))/HomeINR,1))))</f>
        <v/>
      </c>
      <c r="Q165" s="34" t="str">
        <f aca="false">IF(D165="","",D165*P165)</f>
        <v/>
      </c>
      <c r="R165" s="34" t="str">
        <f aca="false">IF(I165="","",I165*P165)</f>
        <v/>
      </c>
      <c r="S165" s="33" t="n">
        <f aca="false">IF(H165="Cancelled",0,IF(R165&lt;&gt;"",R165,IF(Q165&lt;&gt;"",Q165,0)))</f>
        <v>0</v>
      </c>
      <c r="T165" s="45" t="str">
        <f aca="false">IF(S165=0,"",IF(SUM(AE165:AN165)=0,"⚠ nobody picked",COUNTIF(AE165:AN165,"&gt;0")&amp;" people"))</f>
        <v/>
      </c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60" t="n">
        <f aca="false">IF(OR($S165=0,Setup!$B$18=""),0,IF(OR($G165="",$G165="Everyone"),1,IF($G165="Custom",N(U165),IF(OR($G165=Setup!$B$18,AND(Setup!$C$18&lt;&gt;"",$G165=Setup!$C$18)),1,0))))</f>
        <v>0</v>
      </c>
      <c r="AF165" s="60" t="n">
        <f aca="false">IF(OR($S165=0,Setup!$B$19=""),0,IF(OR($G165="",$G165="Everyone"),1,IF($G165="Custom",N(V165),IF(OR($G165=Setup!$B$19,AND(Setup!$C$19&lt;&gt;"",$G165=Setup!$C$19)),1,0))))</f>
        <v>0</v>
      </c>
      <c r="AG165" s="60" t="n">
        <f aca="false">IF(OR($S165=0,Setup!$B$20=""),0,IF(OR($G165="",$G165="Everyone"),1,IF($G165="Custom",N(W165),IF(OR($G165=Setup!$B$20,AND(Setup!$C$20&lt;&gt;"",$G165=Setup!$C$20)),1,0))))</f>
        <v>0</v>
      </c>
      <c r="AH165" s="60" t="n">
        <f aca="false">IF(OR($S165=0,Setup!$B$21=""),0,IF(OR($G165="",$G165="Everyone"),1,IF($G165="Custom",N(X165),IF(OR($G165=Setup!$B$21,AND(Setup!$C$21&lt;&gt;"",$G165=Setup!$C$21)),1,0))))</f>
        <v>0</v>
      </c>
      <c r="AI165" s="60" t="n">
        <f aca="false">IF(OR($S165=0,Setup!$B$22=""),0,IF(OR($G165="",$G165="Everyone"),1,IF($G165="Custom",N(Y165),IF(OR($G165=Setup!$B$22,AND(Setup!$C$22&lt;&gt;"",$G165=Setup!$C$22)),1,0))))</f>
        <v>0</v>
      </c>
      <c r="AJ165" s="60" t="n">
        <f aca="false">IF(OR($S165=0,Setup!$B$23=""),0,IF(OR($G165="",$G165="Everyone"),1,IF($G165="Custom",N(Z165),IF(OR($G165=Setup!$B$23,AND(Setup!$C$23&lt;&gt;"",$G165=Setup!$C$23)),1,0))))</f>
        <v>0</v>
      </c>
      <c r="AK165" s="60" t="n">
        <f aca="false">IF(OR($S165=0,Setup!$B$24=""),0,IF(OR($G165="",$G165="Everyone"),1,IF($G165="Custom",N(AA165),IF(OR($G165=Setup!$B$24,AND(Setup!$C$24&lt;&gt;"",$G165=Setup!$C$24)),1,0))))</f>
        <v>0</v>
      </c>
      <c r="AL165" s="60" t="n">
        <f aca="false">IF(OR($S165=0,Setup!$B$25=""),0,IF(OR($G165="",$G165="Everyone"),1,IF($G165="Custom",N(AB165),IF(OR($G165=Setup!$B$25,AND(Setup!$C$25&lt;&gt;"",$G165=Setup!$C$25)),1,0))))</f>
        <v>0</v>
      </c>
      <c r="AM165" s="60" t="n">
        <f aca="false">IF(OR($S165=0,Setup!$B$26=""),0,IF(OR($G165="",$G165="Everyone"),1,IF($G165="Custom",N(AC165),IF(OR($G165=Setup!$B$26,AND(Setup!$C$26&lt;&gt;"",$G165=Setup!$C$26)),1,0))))</f>
        <v>0</v>
      </c>
      <c r="AN165" s="60" t="n">
        <f aca="false">IF(OR($S165=0,Setup!$B$27=""),0,IF(OR($G165="",$G165="Everyone"),1,IF($G165="Custom",N(AD165),IF(OR($G165=Setup!$B$27,AND(Setup!$C$27&lt;&gt;"",$G165=Setup!$C$27)),1,0))))</f>
        <v>0</v>
      </c>
      <c r="AO165" s="60" t="n">
        <f aca="false">IF(SUM(AE165:AN165)=0,1,SUM(AE165:AN165))</f>
        <v>1</v>
      </c>
      <c r="AP165" s="60" t="n">
        <f aca="false">IF(H165="Paid",1,0)</f>
        <v>0</v>
      </c>
      <c r="AQ165" s="60" t="n">
        <f aca="false">IF(AND(S165&gt;0,SUM(AE165:AN165)=0),S165,0)</f>
        <v>0</v>
      </c>
      <c r="AR165" s="60" t="str">
        <f aca="false">IF(AND(N165&lt;&gt;"",TodayDay&lt;&gt;"",N165=TodayDay),COUNTIF($N$6:N165,TodayDay),"")</f>
        <v/>
      </c>
      <c r="AS165" s="60" t="n">
        <f aca="false">IF(B165="",0,IF(COUNTIFS(Settings!$A$5:$A$29,B165,Settings!$B$5:$B$29,"Yes")&gt;0,1,0))</f>
        <v>0</v>
      </c>
      <c r="AT165" s="61" t="n">
        <f aca="false">IF(OR(N165="",TodayDay=""),IF(N165="",S165,0),IF(N165&lt;TodayDay,S165,0))</f>
        <v>0</v>
      </c>
    </row>
    <row r="166" customFormat="false" ht="15" hidden="false" customHeight="false" outlineLevel="0" collapsed="false">
      <c r="A166" s="23"/>
      <c r="B166" s="23"/>
      <c r="C166" s="23"/>
      <c r="D166" s="56"/>
      <c r="E166" s="23"/>
      <c r="F166" s="23"/>
      <c r="G166" s="23"/>
      <c r="H166" s="23"/>
      <c r="I166" s="56"/>
      <c r="J166" s="23"/>
      <c r="K166" s="28"/>
      <c r="L166" s="23"/>
      <c r="M166" s="23"/>
      <c r="N166" s="25" t="str">
        <f aca="false">IF(A166="","",IF(LEFT(A166,3)="Pre",0,IFERROR(VALUE(MID(A166,5,FIND(" ",A166&amp;" ",5)-5)),"")))</f>
        <v/>
      </c>
      <c r="O166" s="57" t="str">
        <f aca="false">IF(N166="","",IF(N166=0,"Before trip",IF(TripStart="","",TripStart+N166-1)))</f>
        <v/>
      </c>
      <c r="P166" s="58" t="str">
        <f aca="false">IF(AND(D166="",I166=""),"",IF(OR(E166="",E166=HomeCcy),1,IFERROR(INDEX(Setup!$J$26:$J$33,MATCH(E166,Setup!$G$26:$G$33,0)),IFERROR(INDEX(Settings!$S$5:$S$64,MATCH(E166,Settings!$R$5:$R$64,0))/HomeINR,1))))</f>
        <v/>
      </c>
      <c r="Q166" s="34" t="str">
        <f aca="false">IF(D166="","",D166*P166)</f>
        <v/>
      </c>
      <c r="R166" s="34" t="str">
        <f aca="false">IF(I166="","",I166*P166)</f>
        <v/>
      </c>
      <c r="S166" s="33" t="n">
        <f aca="false">IF(H166="Cancelled",0,IF(R166&lt;&gt;"",R166,IF(Q166&lt;&gt;"",Q166,0)))</f>
        <v>0</v>
      </c>
      <c r="T166" s="45" t="str">
        <f aca="false">IF(S166=0,"",IF(SUM(AE166:AN166)=0,"⚠ nobody picked",COUNTIF(AE166:AN166,"&gt;0")&amp;" people"))</f>
        <v/>
      </c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60" t="n">
        <f aca="false">IF(OR($S166=0,Setup!$B$18=""),0,IF(OR($G166="",$G166="Everyone"),1,IF($G166="Custom",N(U166),IF(OR($G166=Setup!$B$18,AND(Setup!$C$18&lt;&gt;"",$G166=Setup!$C$18)),1,0))))</f>
        <v>0</v>
      </c>
      <c r="AF166" s="60" t="n">
        <f aca="false">IF(OR($S166=0,Setup!$B$19=""),0,IF(OR($G166="",$G166="Everyone"),1,IF($G166="Custom",N(V166),IF(OR($G166=Setup!$B$19,AND(Setup!$C$19&lt;&gt;"",$G166=Setup!$C$19)),1,0))))</f>
        <v>0</v>
      </c>
      <c r="AG166" s="60" t="n">
        <f aca="false">IF(OR($S166=0,Setup!$B$20=""),0,IF(OR($G166="",$G166="Everyone"),1,IF($G166="Custom",N(W166),IF(OR($G166=Setup!$B$20,AND(Setup!$C$20&lt;&gt;"",$G166=Setup!$C$20)),1,0))))</f>
        <v>0</v>
      </c>
      <c r="AH166" s="60" t="n">
        <f aca="false">IF(OR($S166=0,Setup!$B$21=""),0,IF(OR($G166="",$G166="Everyone"),1,IF($G166="Custom",N(X166),IF(OR($G166=Setup!$B$21,AND(Setup!$C$21&lt;&gt;"",$G166=Setup!$C$21)),1,0))))</f>
        <v>0</v>
      </c>
      <c r="AI166" s="60" t="n">
        <f aca="false">IF(OR($S166=0,Setup!$B$22=""),0,IF(OR($G166="",$G166="Everyone"),1,IF($G166="Custom",N(Y166),IF(OR($G166=Setup!$B$22,AND(Setup!$C$22&lt;&gt;"",$G166=Setup!$C$22)),1,0))))</f>
        <v>0</v>
      </c>
      <c r="AJ166" s="60" t="n">
        <f aca="false">IF(OR($S166=0,Setup!$B$23=""),0,IF(OR($G166="",$G166="Everyone"),1,IF($G166="Custom",N(Z166),IF(OR($G166=Setup!$B$23,AND(Setup!$C$23&lt;&gt;"",$G166=Setup!$C$23)),1,0))))</f>
        <v>0</v>
      </c>
      <c r="AK166" s="60" t="n">
        <f aca="false">IF(OR($S166=0,Setup!$B$24=""),0,IF(OR($G166="",$G166="Everyone"),1,IF($G166="Custom",N(AA166),IF(OR($G166=Setup!$B$24,AND(Setup!$C$24&lt;&gt;"",$G166=Setup!$C$24)),1,0))))</f>
        <v>0</v>
      </c>
      <c r="AL166" s="60" t="n">
        <f aca="false">IF(OR($S166=0,Setup!$B$25=""),0,IF(OR($G166="",$G166="Everyone"),1,IF($G166="Custom",N(AB166),IF(OR($G166=Setup!$B$25,AND(Setup!$C$25&lt;&gt;"",$G166=Setup!$C$25)),1,0))))</f>
        <v>0</v>
      </c>
      <c r="AM166" s="60" t="n">
        <f aca="false">IF(OR($S166=0,Setup!$B$26=""),0,IF(OR($G166="",$G166="Everyone"),1,IF($G166="Custom",N(AC166),IF(OR($G166=Setup!$B$26,AND(Setup!$C$26&lt;&gt;"",$G166=Setup!$C$26)),1,0))))</f>
        <v>0</v>
      </c>
      <c r="AN166" s="60" t="n">
        <f aca="false">IF(OR($S166=0,Setup!$B$27=""),0,IF(OR($G166="",$G166="Everyone"),1,IF($G166="Custom",N(AD166),IF(OR($G166=Setup!$B$27,AND(Setup!$C$27&lt;&gt;"",$G166=Setup!$C$27)),1,0))))</f>
        <v>0</v>
      </c>
      <c r="AO166" s="60" t="n">
        <f aca="false">IF(SUM(AE166:AN166)=0,1,SUM(AE166:AN166))</f>
        <v>1</v>
      </c>
      <c r="AP166" s="60" t="n">
        <f aca="false">IF(H166="Paid",1,0)</f>
        <v>0</v>
      </c>
      <c r="AQ166" s="60" t="n">
        <f aca="false">IF(AND(S166&gt;0,SUM(AE166:AN166)=0),S166,0)</f>
        <v>0</v>
      </c>
      <c r="AR166" s="60" t="str">
        <f aca="false">IF(AND(N166&lt;&gt;"",TodayDay&lt;&gt;"",N166=TodayDay),COUNTIF($N$6:N166,TodayDay),"")</f>
        <v/>
      </c>
      <c r="AS166" s="60" t="n">
        <f aca="false">IF(B166="",0,IF(COUNTIFS(Settings!$A$5:$A$29,B166,Settings!$B$5:$B$29,"Yes")&gt;0,1,0))</f>
        <v>0</v>
      </c>
      <c r="AT166" s="61" t="n">
        <f aca="false">IF(OR(N166="",TodayDay=""),IF(N166="",S166,0),IF(N166&lt;TodayDay,S166,0))</f>
        <v>0</v>
      </c>
    </row>
    <row r="167" customFormat="false" ht="15" hidden="false" customHeight="false" outlineLevel="0" collapsed="false">
      <c r="A167" s="23"/>
      <c r="B167" s="23"/>
      <c r="C167" s="23"/>
      <c r="D167" s="56"/>
      <c r="E167" s="23"/>
      <c r="F167" s="23"/>
      <c r="G167" s="23"/>
      <c r="H167" s="23"/>
      <c r="I167" s="56"/>
      <c r="J167" s="23"/>
      <c r="K167" s="28"/>
      <c r="L167" s="23"/>
      <c r="M167" s="23"/>
      <c r="N167" s="25" t="str">
        <f aca="false">IF(A167="","",IF(LEFT(A167,3)="Pre",0,IFERROR(VALUE(MID(A167,5,FIND(" ",A167&amp;" ",5)-5)),"")))</f>
        <v/>
      </c>
      <c r="O167" s="57" t="str">
        <f aca="false">IF(N167="","",IF(N167=0,"Before trip",IF(TripStart="","",TripStart+N167-1)))</f>
        <v/>
      </c>
      <c r="P167" s="58" t="str">
        <f aca="false">IF(AND(D167="",I167=""),"",IF(OR(E167="",E167=HomeCcy),1,IFERROR(INDEX(Setup!$J$26:$J$33,MATCH(E167,Setup!$G$26:$G$33,0)),IFERROR(INDEX(Settings!$S$5:$S$64,MATCH(E167,Settings!$R$5:$R$64,0))/HomeINR,1))))</f>
        <v/>
      </c>
      <c r="Q167" s="34" t="str">
        <f aca="false">IF(D167="","",D167*P167)</f>
        <v/>
      </c>
      <c r="R167" s="34" t="str">
        <f aca="false">IF(I167="","",I167*P167)</f>
        <v/>
      </c>
      <c r="S167" s="33" t="n">
        <f aca="false">IF(H167="Cancelled",0,IF(R167&lt;&gt;"",R167,IF(Q167&lt;&gt;"",Q167,0)))</f>
        <v>0</v>
      </c>
      <c r="T167" s="45" t="str">
        <f aca="false">IF(S167=0,"",IF(SUM(AE167:AN167)=0,"⚠ nobody picked",COUNTIF(AE167:AN167,"&gt;0")&amp;" people"))</f>
        <v/>
      </c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60" t="n">
        <f aca="false">IF(OR($S167=0,Setup!$B$18=""),0,IF(OR($G167="",$G167="Everyone"),1,IF($G167="Custom",N(U167),IF(OR($G167=Setup!$B$18,AND(Setup!$C$18&lt;&gt;"",$G167=Setup!$C$18)),1,0))))</f>
        <v>0</v>
      </c>
      <c r="AF167" s="60" t="n">
        <f aca="false">IF(OR($S167=0,Setup!$B$19=""),0,IF(OR($G167="",$G167="Everyone"),1,IF($G167="Custom",N(V167),IF(OR($G167=Setup!$B$19,AND(Setup!$C$19&lt;&gt;"",$G167=Setup!$C$19)),1,0))))</f>
        <v>0</v>
      </c>
      <c r="AG167" s="60" t="n">
        <f aca="false">IF(OR($S167=0,Setup!$B$20=""),0,IF(OR($G167="",$G167="Everyone"),1,IF($G167="Custom",N(W167),IF(OR($G167=Setup!$B$20,AND(Setup!$C$20&lt;&gt;"",$G167=Setup!$C$20)),1,0))))</f>
        <v>0</v>
      </c>
      <c r="AH167" s="60" t="n">
        <f aca="false">IF(OR($S167=0,Setup!$B$21=""),0,IF(OR($G167="",$G167="Everyone"),1,IF($G167="Custom",N(X167),IF(OR($G167=Setup!$B$21,AND(Setup!$C$21&lt;&gt;"",$G167=Setup!$C$21)),1,0))))</f>
        <v>0</v>
      </c>
      <c r="AI167" s="60" t="n">
        <f aca="false">IF(OR($S167=0,Setup!$B$22=""),0,IF(OR($G167="",$G167="Everyone"),1,IF($G167="Custom",N(Y167),IF(OR($G167=Setup!$B$22,AND(Setup!$C$22&lt;&gt;"",$G167=Setup!$C$22)),1,0))))</f>
        <v>0</v>
      </c>
      <c r="AJ167" s="60" t="n">
        <f aca="false">IF(OR($S167=0,Setup!$B$23=""),0,IF(OR($G167="",$G167="Everyone"),1,IF($G167="Custom",N(Z167),IF(OR($G167=Setup!$B$23,AND(Setup!$C$23&lt;&gt;"",$G167=Setup!$C$23)),1,0))))</f>
        <v>0</v>
      </c>
      <c r="AK167" s="60" t="n">
        <f aca="false">IF(OR($S167=0,Setup!$B$24=""),0,IF(OR($G167="",$G167="Everyone"),1,IF($G167="Custom",N(AA167),IF(OR($G167=Setup!$B$24,AND(Setup!$C$24&lt;&gt;"",$G167=Setup!$C$24)),1,0))))</f>
        <v>0</v>
      </c>
      <c r="AL167" s="60" t="n">
        <f aca="false">IF(OR($S167=0,Setup!$B$25=""),0,IF(OR($G167="",$G167="Everyone"),1,IF($G167="Custom",N(AB167),IF(OR($G167=Setup!$B$25,AND(Setup!$C$25&lt;&gt;"",$G167=Setup!$C$25)),1,0))))</f>
        <v>0</v>
      </c>
      <c r="AM167" s="60" t="n">
        <f aca="false">IF(OR($S167=0,Setup!$B$26=""),0,IF(OR($G167="",$G167="Everyone"),1,IF($G167="Custom",N(AC167),IF(OR($G167=Setup!$B$26,AND(Setup!$C$26&lt;&gt;"",$G167=Setup!$C$26)),1,0))))</f>
        <v>0</v>
      </c>
      <c r="AN167" s="60" t="n">
        <f aca="false">IF(OR($S167=0,Setup!$B$27=""),0,IF(OR($G167="",$G167="Everyone"),1,IF($G167="Custom",N(AD167),IF(OR($G167=Setup!$B$27,AND(Setup!$C$27&lt;&gt;"",$G167=Setup!$C$27)),1,0))))</f>
        <v>0</v>
      </c>
      <c r="AO167" s="60" t="n">
        <f aca="false">IF(SUM(AE167:AN167)=0,1,SUM(AE167:AN167))</f>
        <v>1</v>
      </c>
      <c r="AP167" s="60" t="n">
        <f aca="false">IF(H167="Paid",1,0)</f>
        <v>0</v>
      </c>
      <c r="AQ167" s="60" t="n">
        <f aca="false">IF(AND(S167&gt;0,SUM(AE167:AN167)=0),S167,0)</f>
        <v>0</v>
      </c>
      <c r="AR167" s="60" t="str">
        <f aca="false">IF(AND(N167&lt;&gt;"",TodayDay&lt;&gt;"",N167=TodayDay),COUNTIF($N$6:N167,TodayDay),"")</f>
        <v/>
      </c>
      <c r="AS167" s="60" t="n">
        <f aca="false">IF(B167="",0,IF(COUNTIFS(Settings!$A$5:$A$29,B167,Settings!$B$5:$B$29,"Yes")&gt;0,1,0))</f>
        <v>0</v>
      </c>
      <c r="AT167" s="61" t="n">
        <f aca="false">IF(OR(N167="",TodayDay=""),IF(N167="",S167,0),IF(N167&lt;TodayDay,S167,0))</f>
        <v>0</v>
      </c>
    </row>
    <row r="168" customFormat="false" ht="15" hidden="false" customHeight="false" outlineLevel="0" collapsed="false">
      <c r="A168" s="23"/>
      <c r="B168" s="23"/>
      <c r="C168" s="23"/>
      <c r="D168" s="56"/>
      <c r="E168" s="23"/>
      <c r="F168" s="23"/>
      <c r="G168" s="23"/>
      <c r="H168" s="23"/>
      <c r="I168" s="56"/>
      <c r="J168" s="23"/>
      <c r="K168" s="28"/>
      <c r="L168" s="23"/>
      <c r="M168" s="23"/>
      <c r="N168" s="25" t="str">
        <f aca="false">IF(A168="","",IF(LEFT(A168,3)="Pre",0,IFERROR(VALUE(MID(A168,5,FIND(" ",A168&amp;" ",5)-5)),"")))</f>
        <v/>
      </c>
      <c r="O168" s="57" t="str">
        <f aca="false">IF(N168="","",IF(N168=0,"Before trip",IF(TripStart="","",TripStart+N168-1)))</f>
        <v/>
      </c>
      <c r="P168" s="58" t="str">
        <f aca="false">IF(AND(D168="",I168=""),"",IF(OR(E168="",E168=HomeCcy),1,IFERROR(INDEX(Setup!$J$26:$J$33,MATCH(E168,Setup!$G$26:$G$33,0)),IFERROR(INDEX(Settings!$S$5:$S$64,MATCH(E168,Settings!$R$5:$R$64,0))/HomeINR,1))))</f>
        <v/>
      </c>
      <c r="Q168" s="34" t="str">
        <f aca="false">IF(D168="","",D168*P168)</f>
        <v/>
      </c>
      <c r="R168" s="34" t="str">
        <f aca="false">IF(I168="","",I168*P168)</f>
        <v/>
      </c>
      <c r="S168" s="33" t="n">
        <f aca="false">IF(H168="Cancelled",0,IF(R168&lt;&gt;"",R168,IF(Q168&lt;&gt;"",Q168,0)))</f>
        <v>0</v>
      </c>
      <c r="T168" s="45" t="str">
        <f aca="false">IF(S168=0,"",IF(SUM(AE168:AN168)=0,"⚠ nobody picked",COUNTIF(AE168:AN168,"&gt;0")&amp;" people"))</f>
        <v/>
      </c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60" t="n">
        <f aca="false">IF(OR($S168=0,Setup!$B$18=""),0,IF(OR($G168="",$G168="Everyone"),1,IF($G168="Custom",N(U168),IF(OR($G168=Setup!$B$18,AND(Setup!$C$18&lt;&gt;"",$G168=Setup!$C$18)),1,0))))</f>
        <v>0</v>
      </c>
      <c r="AF168" s="60" t="n">
        <f aca="false">IF(OR($S168=0,Setup!$B$19=""),0,IF(OR($G168="",$G168="Everyone"),1,IF($G168="Custom",N(V168),IF(OR($G168=Setup!$B$19,AND(Setup!$C$19&lt;&gt;"",$G168=Setup!$C$19)),1,0))))</f>
        <v>0</v>
      </c>
      <c r="AG168" s="60" t="n">
        <f aca="false">IF(OR($S168=0,Setup!$B$20=""),0,IF(OR($G168="",$G168="Everyone"),1,IF($G168="Custom",N(W168),IF(OR($G168=Setup!$B$20,AND(Setup!$C$20&lt;&gt;"",$G168=Setup!$C$20)),1,0))))</f>
        <v>0</v>
      </c>
      <c r="AH168" s="60" t="n">
        <f aca="false">IF(OR($S168=0,Setup!$B$21=""),0,IF(OR($G168="",$G168="Everyone"),1,IF($G168="Custom",N(X168),IF(OR($G168=Setup!$B$21,AND(Setup!$C$21&lt;&gt;"",$G168=Setup!$C$21)),1,0))))</f>
        <v>0</v>
      </c>
      <c r="AI168" s="60" t="n">
        <f aca="false">IF(OR($S168=0,Setup!$B$22=""),0,IF(OR($G168="",$G168="Everyone"),1,IF($G168="Custom",N(Y168),IF(OR($G168=Setup!$B$22,AND(Setup!$C$22&lt;&gt;"",$G168=Setup!$C$22)),1,0))))</f>
        <v>0</v>
      </c>
      <c r="AJ168" s="60" t="n">
        <f aca="false">IF(OR($S168=0,Setup!$B$23=""),0,IF(OR($G168="",$G168="Everyone"),1,IF($G168="Custom",N(Z168),IF(OR($G168=Setup!$B$23,AND(Setup!$C$23&lt;&gt;"",$G168=Setup!$C$23)),1,0))))</f>
        <v>0</v>
      </c>
      <c r="AK168" s="60" t="n">
        <f aca="false">IF(OR($S168=0,Setup!$B$24=""),0,IF(OR($G168="",$G168="Everyone"),1,IF($G168="Custom",N(AA168),IF(OR($G168=Setup!$B$24,AND(Setup!$C$24&lt;&gt;"",$G168=Setup!$C$24)),1,0))))</f>
        <v>0</v>
      </c>
      <c r="AL168" s="60" t="n">
        <f aca="false">IF(OR($S168=0,Setup!$B$25=""),0,IF(OR($G168="",$G168="Everyone"),1,IF($G168="Custom",N(AB168),IF(OR($G168=Setup!$B$25,AND(Setup!$C$25&lt;&gt;"",$G168=Setup!$C$25)),1,0))))</f>
        <v>0</v>
      </c>
      <c r="AM168" s="60" t="n">
        <f aca="false">IF(OR($S168=0,Setup!$B$26=""),0,IF(OR($G168="",$G168="Everyone"),1,IF($G168="Custom",N(AC168),IF(OR($G168=Setup!$B$26,AND(Setup!$C$26&lt;&gt;"",$G168=Setup!$C$26)),1,0))))</f>
        <v>0</v>
      </c>
      <c r="AN168" s="60" t="n">
        <f aca="false">IF(OR($S168=0,Setup!$B$27=""),0,IF(OR($G168="",$G168="Everyone"),1,IF($G168="Custom",N(AD168),IF(OR($G168=Setup!$B$27,AND(Setup!$C$27&lt;&gt;"",$G168=Setup!$C$27)),1,0))))</f>
        <v>0</v>
      </c>
      <c r="AO168" s="60" t="n">
        <f aca="false">IF(SUM(AE168:AN168)=0,1,SUM(AE168:AN168))</f>
        <v>1</v>
      </c>
      <c r="AP168" s="60" t="n">
        <f aca="false">IF(H168="Paid",1,0)</f>
        <v>0</v>
      </c>
      <c r="AQ168" s="60" t="n">
        <f aca="false">IF(AND(S168&gt;0,SUM(AE168:AN168)=0),S168,0)</f>
        <v>0</v>
      </c>
      <c r="AR168" s="60" t="str">
        <f aca="false">IF(AND(N168&lt;&gt;"",TodayDay&lt;&gt;"",N168=TodayDay),COUNTIF($N$6:N168,TodayDay),"")</f>
        <v/>
      </c>
      <c r="AS168" s="60" t="n">
        <f aca="false">IF(B168="",0,IF(COUNTIFS(Settings!$A$5:$A$29,B168,Settings!$B$5:$B$29,"Yes")&gt;0,1,0))</f>
        <v>0</v>
      </c>
      <c r="AT168" s="61" t="n">
        <f aca="false">IF(OR(N168="",TodayDay=""),IF(N168="",S168,0),IF(N168&lt;TodayDay,S168,0))</f>
        <v>0</v>
      </c>
    </row>
    <row r="169" customFormat="false" ht="15" hidden="false" customHeight="false" outlineLevel="0" collapsed="false">
      <c r="A169" s="23"/>
      <c r="B169" s="23"/>
      <c r="C169" s="23"/>
      <c r="D169" s="56"/>
      <c r="E169" s="23"/>
      <c r="F169" s="23"/>
      <c r="G169" s="23"/>
      <c r="H169" s="23"/>
      <c r="I169" s="56"/>
      <c r="J169" s="23"/>
      <c r="K169" s="28"/>
      <c r="L169" s="23"/>
      <c r="M169" s="23"/>
      <c r="N169" s="25" t="str">
        <f aca="false">IF(A169="","",IF(LEFT(A169,3)="Pre",0,IFERROR(VALUE(MID(A169,5,FIND(" ",A169&amp;" ",5)-5)),"")))</f>
        <v/>
      </c>
      <c r="O169" s="57" t="str">
        <f aca="false">IF(N169="","",IF(N169=0,"Before trip",IF(TripStart="","",TripStart+N169-1)))</f>
        <v/>
      </c>
      <c r="P169" s="58" t="str">
        <f aca="false">IF(AND(D169="",I169=""),"",IF(OR(E169="",E169=HomeCcy),1,IFERROR(INDEX(Setup!$J$26:$J$33,MATCH(E169,Setup!$G$26:$G$33,0)),IFERROR(INDEX(Settings!$S$5:$S$64,MATCH(E169,Settings!$R$5:$R$64,0))/HomeINR,1))))</f>
        <v/>
      </c>
      <c r="Q169" s="34" t="str">
        <f aca="false">IF(D169="","",D169*P169)</f>
        <v/>
      </c>
      <c r="R169" s="34" t="str">
        <f aca="false">IF(I169="","",I169*P169)</f>
        <v/>
      </c>
      <c r="S169" s="33" t="n">
        <f aca="false">IF(H169="Cancelled",0,IF(R169&lt;&gt;"",R169,IF(Q169&lt;&gt;"",Q169,0)))</f>
        <v>0</v>
      </c>
      <c r="T169" s="45" t="str">
        <f aca="false">IF(S169=0,"",IF(SUM(AE169:AN169)=0,"⚠ nobody picked",COUNTIF(AE169:AN169,"&gt;0")&amp;" people"))</f>
        <v/>
      </c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60" t="n">
        <f aca="false">IF(OR($S169=0,Setup!$B$18=""),0,IF(OR($G169="",$G169="Everyone"),1,IF($G169="Custom",N(U169),IF(OR($G169=Setup!$B$18,AND(Setup!$C$18&lt;&gt;"",$G169=Setup!$C$18)),1,0))))</f>
        <v>0</v>
      </c>
      <c r="AF169" s="60" t="n">
        <f aca="false">IF(OR($S169=0,Setup!$B$19=""),0,IF(OR($G169="",$G169="Everyone"),1,IF($G169="Custom",N(V169),IF(OR($G169=Setup!$B$19,AND(Setup!$C$19&lt;&gt;"",$G169=Setup!$C$19)),1,0))))</f>
        <v>0</v>
      </c>
      <c r="AG169" s="60" t="n">
        <f aca="false">IF(OR($S169=0,Setup!$B$20=""),0,IF(OR($G169="",$G169="Everyone"),1,IF($G169="Custom",N(W169),IF(OR($G169=Setup!$B$20,AND(Setup!$C$20&lt;&gt;"",$G169=Setup!$C$20)),1,0))))</f>
        <v>0</v>
      </c>
      <c r="AH169" s="60" t="n">
        <f aca="false">IF(OR($S169=0,Setup!$B$21=""),0,IF(OR($G169="",$G169="Everyone"),1,IF($G169="Custom",N(X169),IF(OR($G169=Setup!$B$21,AND(Setup!$C$21&lt;&gt;"",$G169=Setup!$C$21)),1,0))))</f>
        <v>0</v>
      </c>
      <c r="AI169" s="60" t="n">
        <f aca="false">IF(OR($S169=0,Setup!$B$22=""),0,IF(OR($G169="",$G169="Everyone"),1,IF($G169="Custom",N(Y169),IF(OR($G169=Setup!$B$22,AND(Setup!$C$22&lt;&gt;"",$G169=Setup!$C$22)),1,0))))</f>
        <v>0</v>
      </c>
      <c r="AJ169" s="60" t="n">
        <f aca="false">IF(OR($S169=0,Setup!$B$23=""),0,IF(OR($G169="",$G169="Everyone"),1,IF($G169="Custom",N(Z169),IF(OR($G169=Setup!$B$23,AND(Setup!$C$23&lt;&gt;"",$G169=Setup!$C$23)),1,0))))</f>
        <v>0</v>
      </c>
      <c r="AK169" s="60" t="n">
        <f aca="false">IF(OR($S169=0,Setup!$B$24=""),0,IF(OR($G169="",$G169="Everyone"),1,IF($G169="Custom",N(AA169),IF(OR($G169=Setup!$B$24,AND(Setup!$C$24&lt;&gt;"",$G169=Setup!$C$24)),1,0))))</f>
        <v>0</v>
      </c>
      <c r="AL169" s="60" t="n">
        <f aca="false">IF(OR($S169=0,Setup!$B$25=""),0,IF(OR($G169="",$G169="Everyone"),1,IF($G169="Custom",N(AB169),IF(OR($G169=Setup!$B$25,AND(Setup!$C$25&lt;&gt;"",$G169=Setup!$C$25)),1,0))))</f>
        <v>0</v>
      </c>
      <c r="AM169" s="60" t="n">
        <f aca="false">IF(OR($S169=0,Setup!$B$26=""),0,IF(OR($G169="",$G169="Everyone"),1,IF($G169="Custom",N(AC169),IF(OR($G169=Setup!$B$26,AND(Setup!$C$26&lt;&gt;"",$G169=Setup!$C$26)),1,0))))</f>
        <v>0</v>
      </c>
      <c r="AN169" s="60" t="n">
        <f aca="false">IF(OR($S169=0,Setup!$B$27=""),0,IF(OR($G169="",$G169="Everyone"),1,IF($G169="Custom",N(AD169),IF(OR($G169=Setup!$B$27,AND(Setup!$C$27&lt;&gt;"",$G169=Setup!$C$27)),1,0))))</f>
        <v>0</v>
      </c>
      <c r="AO169" s="60" t="n">
        <f aca="false">IF(SUM(AE169:AN169)=0,1,SUM(AE169:AN169))</f>
        <v>1</v>
      </c>
      <c r="AP169" s="60" t="n">
        <f aca="false">IF(H169="Paid",1,0)</f>
        <v>0</v>
      </c>
      <c r="AQ169" s="60" t="n">
        <f aca="false">IF(AND(S169&gt;0,SUM(AE169:AN169)=0),S169,0)</f>
        <v>0</v>
      </c>
      <c r="AR169" s="60" t="str">
        <f aca="false">IF(AND(N169&lt;&gt;"",TodayDay&lt;&gt;"",N169=TodayDay),COUNTIF($N$6:N169,TodayDay),"")</f>
        <v/>
      </c>
      <c r="AS169" s="60" t="n">
        <f aca="false">IF(B169="",0,IF(COUNTIFS(Settings!$A$5:$A$29,B169,Settings!$B$5:$B$29,"Yes")&gt;0,1,0))</f>
        <v>0</v>
      </c>
      <c r="AT169" s="61" t="n">
        <f aca="false">IF(OR(N169="",TodayDay=""),IF(N169="",S169,0),IF(N169&lt;TodayDay,S169,0))</f>
        <v>0</v>
      </c>
    </row>
    <row r="170" customFormat="false" ht="15" hidden="false" customHeight="false" outlineLevel="0" collapsed="false">
      <c r="A170" s="23"/>
      <c r="B170" s="23"/>
      <c r="C170" s="23"/>
      <c r="D170" s="56"/>
      <c r="E170" s="23"/>
      <c r="F170" s="23"/>
      <c r="G170" s="23"/>
      <c r="H170" s="23"/>
      <c r="I170" s="56"/>
      <c r="J170" s="23"/>
      <c r="K170" s="28"/>
      <c r="L170" s="23"/>
      <c r="M170" s="23"/>
      <c r="N170" s="25" t="str">
        <f aca="false">IF(A170="","",IF(LEFT(A170,3)="Pre",0,IFERROR(VALUE(MID(A170,5,FIND(" ",A170&amp;" ",5)-5)),"")))</f>
        <v/>
      </c>
      <c r="O170" s="57" t="str">
        <f aca="false">IF(N170="","",IF(N170=0,"Before trip",IF(TripStart="","",TripStart+N170-1)))</f>
        <v/>
      </c>
      <c r="P170" s="58" t="str">
        <f aca="false">IF(AND(D170="",I170=""),"",IF(OR(E170="",E170=HomeCcy),1,IFERROR(INDEX(Setup!$J$26:$J$33,MATCH(E170,Setup!$G$26:$G$33,0)),IFERROR(INDEX(Settings!$S$5:$S$64,MATCH(E170,Settings!$R$5:$R$64,0))/HomeINR,1))))</f>
        <v/>
      </c>
      <c r="Q170" s="34" t="str">
        <f aca="false">IF(D170="","",D170*P170)</f>
        <v/>
      </c>
      <c r="R170" s="34" t="str">
        <f aca="false">IF(I170="","",I170*P170)</f>
        <v/>
      </c>
      <c r="S170" s="33" t="n">
        <f aca="false">IF(H170="Cancelled",0,IF(R170&lt;&gt;"",R170,IF(Q170&lt;&gt;"",Q170,0)))</f>
        <v>0</v>
      </c>
      <c r="T170" s="45" t="str">
        <f aca="false">IF(S170=0,"",IF(SUM(AE170:AN170)=0,"⚠ nobody picked",COUNTIF(AE170:AN170,"&gt;0")&amp;" people"))</f>
        <v/>
      </c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60" t="n">
        <f aca="false">IF(OR($S170=0,Setup!$B$18=""),0,IF(OR($G170="",$G170="Everyone"),1,IF($G170="Custom",N(U170),IF(OR($G170=Setup!$B$18,AND(Setup!$C$18&lt;&gt;"",$G170=Setup!$C$18)),1,0))))</f>
        <v>0</v>
      </c>
      <c r="AF170" s="60" t="n">
        <f aca="false">IF(OR($S170=0,Setup!$B$19=""),0,IF(OR($G170="",$G170="Everyone"),1,IF($G170="Custom",N(V170),IF(OR($G170=Setup!$B$19,AND(Setup!$C$19&lt;&gt;"",$G170=Setup!$C$19)),1,0))))</f>
        <v>0</v>
      </c>
      <c r="AG170" s="60" t="n">
        <f aca="false">IF(OR($S170=0,Setup!$B$20=""),0,IF(OR($G170="",$G170="Everyone"),1,IF($G170="Custom",N(W170),IF(OR($G170=Setup!$B$20,AND(Setup!$C$20&lt;&gt;"",$G170=Setup!$C$20)),1,0))))</f>
        <v>0</v>
      </c>
      <c r="AH170" s="60" t="n">
        <f aca="false">IF(OR($S170=0,Setup!$B$21=""),0,IF(OR($G170="",$G170="Everyone"),1,IF($G170="Custom",N(X170),IF(OR($G170=Setup!$B$21,AND(Setup!$C$21&lt;&gt;"",$G170=Setup!$C$21)),1,0))))</f>
        <v>0</v>
      </c>
      <c r="AI170" s="60" t="n">
        <f aca="false">IF(OR($S170=0,Setup!$B$22=""),0,IF(OR($G170="",$G170="Everyone"),1,IF($G170="Custom",N(Y170),IF(OR($G170=Setup!$B$22,AND(Setup!$C$22&lt;&gt;"",$G170=Setup!$C$22)),1,0))))</f>
        <v>0</v>
      </c>
      <c r="AJ170" s="60" t="n">
        <f aca="false">IF(OR($S170=0,Setup!$B$23=""),0,IF(OR($G170="",$G170="Everyone"),1,IF($G170="Custom",N(Z170),IF(OR($G170=Setup!$B$23,AND(Setup!$C$23&lt;&gt;"",$G170=Setup!$C$23)),1,0))))</f>
        <v>0</v>
      </c>
      <c r="AK170" s="60" t="n">
        <f aca="false">IF(OR($S170=0,Setup!$B$24=""),0,IF(OR($G170="",$G170="Everyone"),1,IF($G170="Custom",N(AA170),IF(OR($G170=Setup!$B$24,AND(Setup!$C$24&lt;&gt;"",$G170=Setup!$C$24)),1,0))))</f>
        <v>0</v>
      </c>
      <c r="AL170" s="60" t="n">
        <f aca="false">IF(OR($S170=0,Setup!$B$25=""),0,IF(OR($G170="",$G170="Everyone"),1,IF($G170="Custom",N(AB170),IF(OR($G170=Setup!$B$25,AND(Setup!$C$25&lt;&gt;"",$G170=Setup!$C$25)),1,0))))</f>
        <v>0</v>
      </c>
      <c r="AM170" s="60" t="n">
        <f aca="false">IF(OR($S170=0,Setup!$B$26=""),0,IF(OR($G170="",$G170="Everyone"),1,IF($G170="Custom",N(AC170),IF(OR($G170=Setup!$B$26,AND(Setup!$C$26&lt;&gt;"",$G170=Setup!$C$26)),1,0))))</f>
        <v>0</v>
      </c>
      <c r="AN170" s="60" t="n">
        <f aca="false">IF(OR($S170=0,Setup!$B$27=""),0,IF(OR($G170="",$G170="Everyone"),1,IF($G170="Custom",N(AD170),IF(OR($G170=Setup!$B$27,AND(Setup!$C$27&lt;&gt;"",$G170=Setup!$C$27)),1,0))))</f>
        <v>0</v>
      </c>
      <c r="AO170" s="60" t="n">
        <f aca="false">IF(SUM(AE170:AN170)=0,1,SUM(AE170:AN170))</f>
        <v>1</v>
      </c>
      <c r="AP170" s="60" t="n">
        <f aca="false">IF(H170="Paid",1,0)</f>
        <v>0</v>
      </c>
      <c r="AQ170" s="60" t="n">
        <f aca="false">IF(AND(S170&gt;0,SUM(AE170:AN170)=0),S170,0)</f>
        <v>0</v>
      </c>
      <c r="AR170" s="60" t="str">
        <f aca="false">IF(AND(N170&lt;&gt;"",TodayDay&lt;&gt;"",N170=TodayDay),COUNTIF($N$6:N170,TodayDay),"")</f>
        <v/>
      </c>
      <c r="AS170" s="60" t="n">
        <f aca="false">IF(B170="",0,IF(COUNTIFS(Settings!$A$5:$A$29,B170,Settings!$B$5:$B$29,"Yes")&gt;0,1,0))</f>
        <v>0</v>
      </c>
      <c r="AT170" s="61" t="n">
        <f aca="false">IF(OR(N170="",TodayDay=""),IF(N170="",S170,0),IF(N170&lt;TodayDay,S170,0))</f>
        <v>0</v>
      </c>
    </row>
    <row r="171" customFormat="false" ht="15" hidden="false" customHeight="false" outlineLevel="0" collapsed="false">
      <c r="A171" s="23"/>
      <c r="B171" s="23"/>
      <c r="C171" s="23"/>
      <c r="D171" s="56"/>
      <c r="E171" s="23"/>
      <c r="F171" s="23"/>
      <c r="G171" s="23"/>
      <c r="H171" s="23"/>
      <c r="I171" s="56"/>
      <c r="J171" s="23"/>
      <c r="K171" s="28"/>
      <c r="L171" s="23"/>
      <c r="M171" s="23"/>
      <c r="N171" s="25" t="str">
        <f aca="false">IF(A171="","",IF(LEFT(A171,3)="Pre",0,IFERROR(VALUE(MID(A171,5,FIND(" ",A171&amp;" ",5)-5)),"")))</f>
        <v/>
      </c>
      <c r="O171" s="57" t="str">
        <f aca="false">IF(N171="","",IF(N171=0,"Before trip",IF(TripStart="","",TripStart+N171-1)))</f>
        <v/>
      </c>
      <c r="P171" s="58" t="str">
        <f aca="false">IF(AND(D171="",I171=""),"",IF(OR(E171="",E171=HomeCcy),1,IFERROR(INDEX(Setup!$J$26:$J$33,MATCH(E171,Setup!$G$26:$G$33,0)),IFERROR(INDEX(Settings!$S$5:$S$64,MATCH(E171,Settings!$R$5:$R$64,0))/HomeINR,1))))</f>
        <v/>
      </c>
      <c r="Q171" s="34" t="str">
        <f aca="false">IF(D171="","",D171*P171)</f>
        <v/>
      </c>
      <c r="R171" s="34" t="str">
        <f aca="false">IF(I171="","",I171*P171)</f>
        <v/>
      </c>
      <c r="S171" s="33" t="n">
        <f aca="false">IF(H171="Cancelled",0,IF(R171&lt;&gt;"",R171,IF(Q171&lt;&gt;"",Q171,0)))</f>
        <v>0</v>
      </c>
      <c r="T171" s="45" t="str">
        <f aca="false">IF(S171=0,"",IF(SUM(AE171:AN171)=0,"⚠ nobody picked",COUNTIF(AE171:AN171,"&gt;0")&amp;" people"))</f>
        <v/>
      </c>
      <c r="U171" s="59"/>
      <c r="V171" s="59"/>
      <c r="W171" s="59"/>
      <c r="X171" s="59"/>
      <c r="Y171" s="59"/>
      <c r="Z171" s="59"/>
      <c r="AA171" s="59"/>
      <c r="AB171" s="59"/>
      <c r="AC171" s="59"/>
      <c r="AD171" s="59"/>
      <c r="AE171" s="60" t="n">
        <f aca="false">IF(OR($S171=0,Setup!$B$18=""),0,IF(OR($G171="",$G171="Everyone"),1,IF($G171="Custom",N(U171),IF(OR($G171=Setup!$B$18,AND(Setup!$C$18&lt;&gt;"",$G171=Setup!$C$18)),1,0))))</f>
        <v>0</v>
      </c>
      <c r="AF171" s="60" t="n">
        <f aca="false">IF(OR($S171=0,Setup!$B$19=""),0,IF(OR($G171="",$G171="Everyone"),1,IF($G171="Custom",N(V171),IF(OR($G171=Setup!$B$19,AND(Setup!$C$19&lt;&gt;"",$G171=Setup!$C$19)),1,0))))</f>
        <v>0</v>
      </c>
      <c r="AG171" s="60" t="n">
        <f aca="false">IF(OR($S171=0,Setup!$B$20=""),0,IF(OR($G171="",$G171="Everyone"),1,IF($G171="Custom",N(W171),IF(OR($G171=Setup!$B$20,AND(Setup!$C$20&lt;&gt;"",$G171=Setup!$C$20)),1,0))))</f>
        <v>0</v>
      </c>
      <c r="AH171" s="60" t="n">
        <f aca="false">IF(OR($S171=0,Setup!$B$21=""),0,IF(OR($G171="",$G171="Everyone"),1,IF($G171="Custom",N(X171),IF(OR($G171=Setup!$B$21,AND(Setup!$C$21&lt;&gt;"",$G171=Setup!$C$21)),1,0))))</f>
        <v>0</v>
      </c>
      <c r="AI171" s="60" t="n">
        <f aca="false">IF(OR($S171=0,Setup!$B$22=""),0,IF(OR($G171="",$G171="Everyone"),1,IF($G171="Custom",N(Y171),IF(OR($G171=Setup!$B$22,AND(Setup!$C$22&lt;&gt;"",$G171=Setup!$C$22)),1,0))))</f>
        <v>0</v>
      </c>
      <c r="AJ171" s="60" t="n">
        <f aca="false">IF(OR($S171=0,Setup!$B$23=""),0,IF(OR($G171="",$G171="Everyone"),1,IF($G171="Custom",N(Z171),IF(OR($G171=Setup!$B$23,AND(Setup!$C$23&lt;&gt;"",$G171=Setup!$C$23)),1,0))))</f>
        <v>0</v>
      </c>
      <c r="AK171" s="60" t="n">
        <f aca="false">IF(OR($S171=0,Setup!$B$24=""),0,IF(OR($G171="",$G171="Everyone"),1,IF($G171="Custom",N(AA171),IF(OR($G171=Setup!$B$24,AND(Setup!$C$24&lt;&gt;"",$G171=Setup!$C$24)),1,0))))</f>
        <v>0</v>
      </c>
      <c r="AL171" s="60" t="n">
        <f aca="false">IF(OR($S171=0,Setup!$B$25=""),0,IF(OR($G171="",$G171="Everyone"),1,IF($G171="Custom",N(AB171),IF(OR($G171=Setup!$B$25,AND(Setup!$C$25&lt;&gt;"",$G171=Setup!$C$25)),1,0))))</f>
        <v>0</v>
      </c>
      <c r="AM171" s="60" t="n">
        <f aca="false">IF(OR($S171=0,Setup!$B$26=""),0,IF(OR($G171="",$G171="Everyone"),1,IF($G171="Custom",N(AC171),IF(OR($G171=Setup!$B$26,AND(Setup!$C$26&lt;&gt;"",$G171=Setup!$C$26)),1,0))))</f>
        <v>0</v>
      </c>
      <c r="AN171" s="60" t="n">
        <f aca="false">IF(OR($S171=0,Setup!$B$27=""),0,IF(OR($G171="",$G171="Everyone"),1,IF($G171="Custom",N(AD171),IF(OR($G171=Setup!$B$27,AND(Setup!$C$27&lt;&gt;"",$G171=Setup!$C$27)),1,0))))</f>
        <v>0</v>
      </c>
      <c r="AO171" s="60" t="n">
        <f aca="false">IF(SUM(AE171:AN171)=0,1,SUM(AE171:AN171))</f>
        <v>1</v>
      </c>
      <c r="AP171" s="60" t="n">
        <f aca="false">IF(H171="Paid",1,0)</f>
        <v>0</v>
      </c>
      <c r="AQ171" s="60" t="n">
        <f aca="false">IF(AND(S171&gt;0,SUM(AE171:AN171)=0),S171,0)</f>
        <v>0</v>
      </c>
      <c r="AR171" s="60" t="str">
        <f aca="false">IF(AND(N171&lt;&gt;"",TodayDay&lt;&gt;"",N171=TodayDay),COUNTIF($N$6:N171,TodayDay),"")</f>
        <v/>
      </c>
      <c r="AS171" s="60" t="n">
        <f aca="false">IF(B171="",0,IF(COUNTIFS(Settings!$A$5:$A$29,B171,Settings!$B$5:$B$29,"Yes")&gt;0,1,0))</f>
        <v>0</v>
      </c>
      <c r="AT171" s="61" t="n">
        <f aca="false">IF(OR(N171="",TodayDay=""),IF(N171="",S171,0),IF(N171&lt;TodayDay,S171,0))</f>
        <v>0</v>
      </c>
    </row>
    <row r="172" customFormat="false" ht="15" hidden="false" customHeight="false" outlineLevel="0" collapsed="false">
      <c r="A172" s="23"/>
      <c r="B172" s="23"/>
      <c r="C172" s="23"/>
      <c r="D172" s="56"/>
      <c r="E172" s="23"/>
      <c r="F172" s="23"/>
      <c r="G172" s="23"/>
      <c r="H172" s="23"/>
      <c r="I172" s="56"/>
      <c r="J172" s="23"/>
      <c r="K172" s="28"/>
      <c r="L172" s="23"/>
      <c r="M172" s="23"/>
      <c r="N172" s="25" t="str">
        <f aca="false">IF(A172="","",IF(LEFT(A172,3)="Pre",0,IFERROR(VALUE(MID(A172,5,FIND(" ",A172&amp;" ",5)-5)),"")))</f>
        <v/>
      </c>
      <c r="O172" s="57" t="str">
        <f aca="false">IF(N172="","",IF(N172=0,"Before trip",IF(TripStart="","",TripStart+N172-1)))</f>
        <v/>
      </c>
      <c r="P172" s="58" t="str">
        <f aca="false">IF(AND(D172="",I172=""),"",IF(OR(E172="",E172=HomeCcy),1,IFERROR(INDEX(Setup!$J$26:$J$33,MATCH(E172,Setup!$G$26:$G$33,0)),IFERROR(INDEX(Settings!$S$5:$S$64,MATCH(E172,Settings!$R$5:$R$64,0))/HomeINR,1))))</f>
        <v/>
      </c>
      <c r="Q172" s="34" t="str">
        <f aca="false">IF(D172="","",D172*P172)</f>
        <v/>
      </c>
      <c r="R172" s="34" t="str">
        <f aca="false">IF(I172="","",I172*P172)</f>
        <v/>
      </c>
      <c r="S172" s="33" t="n">
        <f aca="false">IF(H172="Cancelled",0,IF(R172&lt;&gt;"",R172,IF(Q172&lt;&gt;"",Q172,0)))</f>
        <v>0</v>
      </c>
      <c r="T172" s="45" t="str">
        <f aca="false">IF(S172=0,"",IF(SUM(AE172:AN172)=0,"⚠ nobody picked",COUNTIF(AE172:AN172,"&gt;0")&amp;" people"))</f>
        <v/>
      </c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60" t="n">
        <f aca="false">IF(OR($S172=0,Setup!$B$18=""),0,IF(OR($G172="",$G172="Everyone"),1,IF($G172="Custom",N(U172),IF(OR($G172=Setup!$B$18,AND(Setup!$C$18&lt;&gt;"",$G172=Setup!$C$18)),1,0))))</f>
        <v>0</v>
      </c>
      <c r="AF172" s="60" t="n">
        <f aca="false">IF(OR($S172=0,Setup!$B$19=""),0,IF(OR($G172="",$G172="Everyone"),1,IF($G172="Custom",N(V172),IF(OR($G172=Setup!$B$19,AND(Setup!$C$19&lt;&gt;"",$G172=Setup!$C$19)),1,0))))</f>
        <v>0</v>
      </c>
      <c r="AG172" s="60" t="n">
        <f aca="false">IF(OR($S172=0,Setup!$B$20=""),0,IF(OR($G172="",$G172="Everyone"),1,IF($G172="Custom",N(W172),IF(OR($G172=Setup!$B$20,AND(Setup!$C$20&lt;&gt;"",$G172=Setup!$C$20)),1,0))))</f>
        <v>0</v>
      </c>
      <c r="AH172" s="60" t="n">
        <f aca="false">IF(OR($S172=0,Setup!$B$21=""),0,IF(OR($G172="",$G172="Everyone"),1,IF($G172="Custom",N(X172),IF(OR($G172=Setup!$B$21,AND(Setup!$C$21&lt;&gt;"",$G172=Setup!$C$21)),1,0))))</f>
        <v>0</v>
      </c>
      <c r="AI172" s="60" t="n">
        <f aca="false">IF(OR($S172=0,Setup!$B$22=""),0,IF(OR($G172="",$G172="Everyone"),1,IF($G172="Custom",N(Y172),IF(OR($G172=Setup!$B$22,AND(Setup!$C$22&lt;&gt;"",$G172=Setup!$C$22)),1,0))))</f>
        <v>0</v>
      </c>
      <c r="AJ172" s="60" t="n">
        <f aca="false">IF(OR($S172=0,Setup!$B$23=""),0,IF(OR($G172="",$G172="Everyone"),1,IF($G172="Custom",N(Z172),IF(OR($G172=Setup!$B$23,AND(Setup!$C$23&lt;&gt;"",$G172=Setup!$C$23)),1,0))))</f>
        <v>0</v>
      </c>
      <c r="AK172" s="60" t="n">
        <f aca="false">IF(OR($S172=0,Setup!$B$24=""),0,IF(OR($G172="",$G172="Everyone"),1,IF($G172="Custom",N(AA172),IF(OR($G172=Setup!$B$24,AND(Setup!$C$24&lt;&gt;"",$G172=Setup!$C$24)),1,0))))</f>
        <v>0</v>
      </c>
      <c r="AL172" s="60" t="n">
        <f aca="false">IF(OR($S172=0,Setup!$B$25=""),0,IF(OR($G172="",$G172="Everyone"),1,IF($G172="Custom",N(AB172),IF(OR($G172=Setup!$B$25,AND(Setup!$C$25&lt;&gt;"",$G172=Setup!$C$25)),1,0))))</f>
        <v>0</v>
      </c>
      <c r="AM172" s="60" t="n">
        <f aca="false">IF(OR($S172=0,Setup!$B$26=""),0,IF(OR($G172="",$G172="Everyone"),1,IF($G172="Custom",N(AC172),IF(OR($G172=Setup!$B$26,AND(Setup!$C$26&lt;&gt;"",$G172=Setup!$C$26)),1,0))))</f>
        <v>0</v>
      </c>
      <c r="AN172" s="60" t="n">
        <f aca="false">IF(OR($S172=0,Setup!$B$27=""),0,IF(OR($G172="",$G172="Everyone"),1,IF($G172="Custom",N(AD172),IF(OR($G172=Setup!$B$27,AND(Setup!$C$27&lt;&gt;"",$G172=Setup!$C$27)),1,0))))</f>
        <v>0</v>
      </c>
      <c r="AO172" s="60" t="n">
        <f aca="false">IF(SUM(AE172:AN172)=0,1,SUM(AE172:AN172))</f>
        <v>1</v>
      </c>
      <c r="AP172" s="60" t="n">
        <f aca="false">IF(H172="Paid",1,0)</f>
        <v>0</v>
      </c>
      <c r="AQ172" s="60" t="n">
        <f aca="false">IF(AND(S172&gt;0,SUM(AE172:AN172)=0),S172,0)</f>
        <v>0</v>
      </c>
      <c r="AR172" s="60" t="str">
        <f aca="false">IF(AND(N172&lt;&gt;"",TodayDay&lt;&gt;"",N172=TodayDay),COUNTIF($N$6:N172,TodayDay),"")</f>
        <v/>
      </c>
      <c r="AS172" s="60" t="n">
        <f aca="false">IF(B172="",0,IF(COUNTIFS(Settings!$A$5:$A$29,B172,Settings!$B$5:$B$29,"Yes")&gt;0,1,0))</f>
        <v>0</v>
      </c>
      <c r="AT172" s="61" t="n">
        <f aca="false">IF(OR(N172="",TodayDay=""),IF(N172="",S172,0),IF(N172&lt;TodayDay,S172,0))</f>
        <v>0</v>
      </c>
    </row>
    <row r="173" customFormat="false" ht="15" hidden="false" customHeight="false" outlineLevel="0" collapsed="false">
      <c r="A173" s="23"/>
      <c r="B173" s="23"/>
      <c r="C173" s="23"/>
      <c r="D173" s="56"/>
      <c r="E173" s="23"/>
      <c r="F173" s="23"/>
      <c r="G173" s="23"/>
      <c r="H173" s="23"/>
      <c r="I173" s="56"/>
      <c r="J173" s="23"/>
      <c r="K173" s="28"/>
      <c r="L173" s="23"/>
      <c r="M173" s="23"/>
      <c r="N173" s="25" t="str">
        <f aca="false">IF(A173="","",IF(LEFT(A173,3)="Pre",0,IFERROR(VALUE(MID(A173,5,FIND(" ",A173&amp;" ",5)-5)),"")))</f>
        <v/>
      </c>
      <c r="O173" s="57" t="str">
        <f aca="false">IF(N173="","",IF(N173=0,"Before trip",IF(TripStart="","",TripStart+N173-1)))</f>
        <v/>
      </c>
      <c r="P173" s="58" t="str">
        <f aca="false">IF(AND(D173="",I173=""),"",IF(OR(E173="",E173=HomeCcy),1,IFERROR(INDEX(Setup!$J$26:$J$33,MATCH(E173,Setup!$G$26:$G$33,0)),IFERROR(INDEX(Settings!$S$5:$S$64,MATCH(E173,Settings!$R$5:$R$64,0))/HomeINR,1))))</f>
        <v/>
      </c>
      <c r="Q173" s="34" t="str">
        <f aca="false">IF(D173="","",D173*P173)</f>
        <v/>
      </c>
      <c r="R173" s="34" t="str">
        <f aca="false">IF(I173="","",I173*P173)</f>
        <v/>
      </c>
      <c r="S173" s="33" t="n">
        <f aca="false">IF(H173="Cancelled",0,IF(R173&lt;&gt;"",R173,IF(Q173&lt;&gt;"",Q173,0)))</f>
        <v>0</v>
      </c>
      <c r="T173" s="45" t="str">
        <f aca="false">IF(S173=0,"",IF(SUM(AE173:AN173)=0,"⚠ nobody picked",COUNTIF(AE173:AN173,"&gt;0")&amp;" people"))</f>
        <v/>
      </c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60" t="n">
        <f aca="false">IF(OR($S173=0,Setup!$B$18=""),0,IF(OR($G173="",$G173="Everyone"),1,IF($G173="Custom",N(U173),IF(OR($G173=Setup!$B$18,AND(Setup!$C$18&lt;&gt;"",$G173=Setup!$C$18)),1,0))))</f>
        <v>0</v>
      </c>
      <c r="AF173" s="60" t="n">
        <f aca="false">IF(OR($S173=0,Setup!$B$19=""),0,IF(OR($G173="",$G173="Everyone"),1,IF($G173="Custom",N(V173),IF(OR($G173=Setup!$B$19,AND(Setup!$C$19&lt;&gt;"",$G173=Setup!$C$19)),1,0))))</f>
        <v>0</v>
      </c>
      <c r="AG173" s="60" t="n">
        <f aca="false">IF(OR($S173=0,Setup!$B$20=""),0,IF(OR($G173="",$G173="Everyone"),1,IF($G173="Custom",N(W173),IF(OR($G173=Setup!$B$20,AND(Setup!$C$20&lt;&gt;"",$G173=Setup!$C$20)),1,0))))</f>
        <v>0</v>
      </c>
      <c r="AH173" s="60" t="n">
        <f aca="false">IF(OR($S173=0,Setup!$B$21=""),0,IF(OR($G173="",$G173="Everyone"),1,IF($G173="Custom",N(X173),IF(OR($G173=Setup!$B$21,AND(Setup!$C$21&lt;&gt;"",$G173=Setup!$C$21)),1,0))))</f>
        <v>0</v>
      </c>
      <c r="AI173" s="60" t="n">
        <f aca="false">IF(OR($S173=0,Setup!$B$22=""),0,IF(OR($G173="",$G173="Everyone"),1,IF($G173="Custom",N(Y173),IF(OR($G173=Setup!$B$22,AND(Setup!$C$22&lt;&gt;"",$G173=Setup!$C$22)),1,0))))</f>
        <v>0</v>
      </c>
      <c r="AJ173" s="60" t="n">
        <f aca="false">IF(OR($S173=0,Setup!$B$23=""),0,IF(OR($G173="",$G173="Everyone"),1,IF($G173="Custom",N(Z173),IF(OR($G173=Setup!$B$23,AND(Setup!$C$23&lt;&gt;"",$G173=Setup!$C$23)),1,0))))</f>
        <v>0</v>
      </c>
      <c r="AK173" s="60" t="n">
        <f aca="false">IF(OR($S173=0,Setup!$B$24=""),0,IF(OR($G173="",$G173="Everyone"),1,IF($G173="Custom",N(AA173),IF(OR($G173=Setup!$B$24,AND(Setup!$C$24&lt;&gt;"",$G173=Setup!$C$24)),1,0))))</f>
        <v>0</v>
      </c>
      <c r="AL173" s="60" t="n">
        <f aca="false">IF(OR($S173=0,Setup!$B$25=""),0,IF(OR($G173="",$G173="Everyone"),1,IF($G173="Custom",N(AB173),IF(OR($G173=Setup!$B$25,AND(Setup!$C$25&lt;&gt;"",$G173=Setup!$C$25)),1,0))))</f>
        <v>0</v>
      </c>
      <c r="AM173" s="60" t="n">
        <f aca="false">IF(OR($S173=0,Setup!$B$26=""),0,IF(OR($G173="",$G173="Everyone"),1,IF($G173="Custom",N(AC173),IF(OR($G173=Setup!$B$26,AND(Setup!$C$26&lt;&gt;"",$G173=Setup!$C$26)),1,0))))</f>
        <v>0</v>
      </c>
      <c r="AN173" s="60" t="n">
        <f aca="false">IF(OR($S173=0,Setup!$B$27=""),0,IF(OR($G173="",$G173="Everyone"),1,IF($G173="Custom",N(AD173),IF(OR($G173=Setup!$B$27,AND(Setup!$C$27&lt;&gt;"",$G173=Setup!$C$27)),1,0))))</f>
        <v>0</v>
      </c>
      <c r="AO173" s="60" t="n">
        <f aca="false">IF(SUM(AE173:AN173)=0,1,SUM(AE173:AN173))</f>
        <v>1</v>
      </c>
      <c r="AP173" s="60" t="n">
        <f aca="false">IF(H173="Paid",1,0)</f>
        <v>0</v>
      </c>
      <c r="AQ173" s="60" t="n">
        <f aca="false">IF(AND(S173&gt;0,SUM(AE173:AN173)=0),S173,0)</f>
        <v>0</v>
      </c>
      <c r="AR173" s="60" t="str">
        <f aca="false">IF(AND(N173&lt;&gt;"",TodayDay&lt;&gt;"",N173=TodayDay),COUNTIF($N$6:N173,TodayDay),"")</f>
        <v/>
      </c>
      <c r="AS173" s="60" t="n">
        <f aca="false">IF(B173="",0,IF(COUNTIFS(Settings!$A$5:$A$29,B173,Settings!$B$5:$B$29,"Yes")&gt;0,1,0))</f>
        <v>0</v>
      </c>
      <c r="AT173" s="61" t="n">
        <f aca="false">IF(OR(N173="",TodayDay=""),IF(N173="",S173,0),IF(N173&lt;TodayDay,S173,0))</f>
        <v>0</v>
      </c>
    </row>
    <row r="174" customFormat="false" ht="15" hidden="false" customHeight="false" outlineLevel="0" collapsed="false">
      <c r="A174" s="23"/>
      <c r="B174" s="23"/>
      <c r="C174" s="23"/>
      <c r="D174" s="56"/>
      <c r="E174" s="23"/>
      <c r="F174" s="23"/>
      <c r="G174" s="23"/>
      <c r="H174" s="23"/>
      <c r="I174" s="56"/>
      <c r="J174" s="23"/>
      <c r="K174" s="28"/>
      <c r="L174" s="23"/>
      <c r="M174" s="23"/>
      <c r="N174" s="25" t="str">
        <f aca="false">IF(A174="","",IF(LEFT(A174,3)="Pre",0,IFERROR(VALUE(MID(A174,5,FIND(" ",A174&amp;" ",5)-5)),"")))</f>
        <v/>
      </c>
      <c r="O174" s="57" t="str">
        <f aca="false">IF(N174="","",IF(N174=0,"Before trip",IF(TripStart="","",TripStart+N174-1)))</f>
        <v/>
      </c>
      <c r="P174" s="58" t="str">
        <f aca="false">IF(AND(D174="",I174=""),"",IF(OR(E174="",E174=HomeCcy),1,IFERROR(INDEX(Setup!$J$26:$J$33,MATCH(E174,Setup!$G$26:$G$33,0)),IFERROR(INDEX(Settings!$S$5:$S$64,MATCH(E174,Settings!$R$5:$R$64,0))/HomeINR,1))))</f>
        <v/>
      </c>
      <c r="Q174" s="34" t="str">
        <f aca="false">IF(D174="","",D174*P174)</f>
        <v/>
      </c>
      <c r="R174" s="34" t="str">
        <f aca="false">IF(I174="","",I174*P174)</f>
        <v/>
      </c>
      <c r="S174" s="33" t="n">
        <f aca="false">IF(H174="Cancelled",0,IF(R174&lt;&gt;"",R174,IF(Q174&lt;&gt;"",Q174,0)))</f>
        <v>0</v>
      </c>
      <c r="T174" s="45" t="str">
        <f aca="false">IF(S174=0,"",IF(SUM(AE174:AN174)=0,"⚠ nobody picked",COUNTIF(AE174:AN174,"&gt;0")&amp;" people"))</f>
        <v/>
      </c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60" t="n">
        <f aca="false">IF(OR($S174=0,Setup!$B$18=""),0,IF(OR($G174="",$G174="Everyone"),1,IF($G174="Custom",N(U174),IF(OR($G174=Setup!$B$18,AND(Setup!$C$18&lt;&gt;"",$G174=Setup!$C$18)),1,0))))</f>
        <v>0</v>
      </c>
      <c r="AF174" s="60" t="n">
        <f aca="false">IF(OR($S174=0,Setup!$B$19=""),0,IF(OR($G174="",$G174="Everyone"),1,IF($G174="Custom",N(V174),IF(OR($G174=Setup!$B$19,AND(Setup!$C$19&lt;&gt;"",$G174=Setup!$C$19)),1,0))))</f>
        <v>0</v>
      </c>
      <c r="AG174" s="60" t="n">
        <f aca="false">IF(OR($S174=0,Setup!$B$20=""),0,IF(OR($G174="",$G174="Everyone"),1,IF($G174="Custom",N(W174),IF(OR($G174=Setup!$B$20,AND(Setup!$C$20&lt;&gt;"",$G174=Setup!$C$20)),1,0))))</f>
        <v>0</v>
      </c>
      <c r="AH174" s="60" t="n">
        <f aca="false">IF(OR($S174=0,Setup!$B$21=""),0,IF(OR($G174="",$G174="Everyone"),1,IF($G174="Custom",N(X174),IF(OR($G174=Setup!$B$21,AND(Setup!$C$21&lt;&gt;"",$G174=Setup!$C$21)),1,0))))</f>
        <v>0</v>
      </c>
      <c r="AI174" s="60" t="n">
        <f aca="false">IF(OR($S174=0,Setup!$B$22=""),0,IF(OR($G174="",$G174="Everyone"),1,IF($G174="Custom",N(Y174),IF(OR($G174=Setup!$B$22,AND(Setup!$C$22&lt;&gt;"",$G174=Setup!$C$22)),1,0))))</f>
        <v>0</v>
      </c>
      <c r="AJ174" s="60" t="n">
        <f aca="false">IF(OR($S174=0,Setup!$B$23=""),0,IF(OR($G174="",$G174="Everyone"),1,IF($G174="Custom",N(Z174),IF(OR($G174=Setup!$B$23,AND(Setup!$C$23&lt;&gt;"",$G174=Setup!$C$23)),1,0))))</f>
        <v>0</v>
      </c>
      <c r="AK174" s="60" t="n">
        <f aca="false">IF(OR($S174=0,Setup!$B$24=""),0,IF(OR($G174="",$G174="Everyone"),1,IF($G174="Custom",N(AA174),IF(OR($G174=Setup!$B$24,AND(Setup!$C$24&lt;&gt;"",$G174=Setup!$C$24)),1,0))))</f>
        <v>0</v>
      </c>
      <c r="AL174" s="60" t="n">
        <f aca="false">IF(OR($S174=0,Setup!$B$25=""),0,IF(OR($G174="",$G174="Everyone"),1,IF($G174="Custom",N(AB174),IF(OR($G174=Setup!$B$25,AND(Setup!$C$25&lt;&gt;"",$G174=Setup!$C$25)),1,0))))</f>
        <v>0</v>
      </c>
      <c r="AM174" s="60" t="n">
        <f aca="false">IF(OR($S174=0,Setup!$B$26=""),0,IF(OR($G174="",$G174="Everyone"),1,IF($G174="Custom",N(AC174),IF(OR($G174=Setup!$B$26,AND(Setup!$C$26&lt;&gt;"",$G174=Setup!$C$26)),1,0))))</f>
        <v>0</v>
      </c>
      <c r="AN174" s="60" t="n">
        <f aca="false">IF(OR($S174=0,Setup!$B$27=""),0,IF(OR($G174="",$G174="Everyone"),1,IF($G174="Custom",N(AD174),IF(OR($G174=Setup!$B$27,AND(Setup!$C$27&lt;&gt;"",$G174=Setup!$C$27)),1,0))))</f>
        <v>0</v>
      </c>
      <c r="AO174" s="60" t="n">
        <f aca="false">IF(SUM(AE174:AN174)=0,1,SUM(AE174:AN174))</f>
        <v>1</v>
      </c>
      <c r="AP174" s="60" t="n">
        <f aca="false">IF(H174="Paid",1,0)</f>
        <v>0</v>
      </c>
      <c r="AQ174" s="60" t="n">
        <f aca="false">IF(AND(S174&gt;0,SUM(AE174:AN174)=0),S174,0)</f>
        <v>0</v>
      </c>
      <c r="AR174" s="60" t="str">
        <f aca="false">IF(AND(N174&lt;&gt;"",TodayDay&lt;&gt;"",N174=TodayDay),COUNTIF($N$6:N174,TodayDay),"")</f>
        <v/>
      </c>
      <c r="AS174" s="60" t="n">
        <f aca="false">IF(B174="",0,IF(COUNTIFS(Settings!$A$5:$A$29,B174,Settings!$B$5:$B$29,"Yes")&gt;0,1,0))</f>
        <v>0</v>
      </c>
      <c r="AT174" s="61" t="n">
        <f aca="false">IF(OR(N174="",TodayDay=""),IF(N174="",S174,0),IF(N174&lt;TodayDay,S174,0))</f>
        <v>0</v>
      </c>
    </row>
    <row r="175" customFormat="false" ht="15" hidden="false" customHeight="false" outlineLevel="0" collapsed="false">
      <c r="A175" s="23"/>
      <c r="B175" s="23"/>
      <c r="C175" s="23"/>
      <c r="D175" s="56"/>
      <c r="E175" s="23"/>
      <c r="F175" s="23"/>
      <c r="G175" s="23"/>
      <c r="H175" s="23"/>
      <c r="I175" s="56"/>
      <c r="J175" s="23"/>
      <c r="K175" s="28"/>
      <c r="L175" s="23"/>
      <c r="M175" s="23"/>
      <c r="N175" s="25" t="str">
        <f aca="false">IF(A175="","",IF(LEFT(A175,3)="Pre",0,IFERROR(VALUE(MID(A175,5,FIND(" ",A175&amp;" ",5)-5)),"")))</f>
        <v/>
      </c>
      <c r="O175" s="57" t="str">
        <f aca="false">IF(N175="","",IF(N175=0,"Before trip",IF(TripStart="","",TripStart+N175-1)))</f>
        <v/>
      </c>
      <c r="P175" s="58" t="str">
        <f aca="false">IF(AND(D175="",I175=""),"",IF(OR(E175="",E175=HomeCcy),1,IFERROR(INDEX(Setup!$J$26:$J$33,MATCH(E175,Setup!$G$26:$G$33,0)),IFERROR(INDEX(Settings!$S$5:$S$64,MATCH(E175,Settings!$R$5:$R$64,0))/HomeINR,1))))</f>
        <v/>
      </c>
      <c r="Q175" s="34" t="str">
        <f aca="false">IF(D175="","",D175*P175)</f>
        <v/>
      </c>
      <c r="R175" s="34" t="str">
        <f aca="false">IF(I175="","",I175*P175)</f>
        <v/>
      </c>
      <c r="S175" s="33" t="n">
        <f aca="false">IF(H175="Cancelled",0,IF(R175&lt;&gt;"",R175,IF(Q175&lt;&gt;"",Q175,0)))</f>
        <v>0</v>
      </c>
      <c r="T175" s="45" t="str">
        <f aca="false">IF(S175=0,"",IF(SUM(AE175:AN175)=0,"⚠ nobody picked",COUNTIF(AE175:AN175,"&gt;0")&amp;" people"))</f>
        <v/>
      </c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60" t="n">
        <f aca="false">IF(OR($S175=0,Setup!$B$18=""),0,IF(OR($G175="",$G175="Everyone"),1,IF($G175="Custom",N(U175),IF(OR($G175=Setup!$B$18,AND(Setup!$C$18&lt;&gt;"",$G175=Setup!$C$18)),1,0))))</f>
        <v>0</v>
      </c>
      <c r="AF175" s="60" t="n">
        <f aca="false">IF(OR($S175=0,Setup!$B$19=""),0,IF(OR($G175="",$G175="Everyone"),1,IF($G175="Custom",N(V175),IF(OR($G175=Setup!$B$19,AND(Setup!$C$19&lt;&gt;"",$G175=Setup!$C$19)),1,0))))</f>
        <v>0</v>
      </c>
      <c r="AG175" s="60" t="n">
        <f aca="false">IF(OR($S175=0,Setup!$B$20=""),0,IF(OR($G175="",$G175="Everyone"),1,IF($G175="Custom",N(W175),IF(OR($G175=Setup!$B$20,AND(Setup!$C$20&lt;&gt;"",$G175=Setup!$C$20)),1,0))))</f>
        <v>0</v>
      </c>
      <c r="AH175" s="60" t="n">
        <f aca="false">IF(OR($S175=0,Setup!$B$21=""),0,IF(OR($G175="",$G175="Everyone"),1,IF($G175="Custom",N(X175),IF(OR($G175=Setup!$B$21,AND(Setup!$C$21&lt;&gt;"",$G175=Setup!$C$21)),1,0))))</f>
        <v>0</v>
      </c>
      <c r="AI175" s="60" t="n">
        <f aca="false">IF(OR($S175=0,Setup!$B$22=""),0,IF(OR($G175="",$G175="Everyone"),1,IF($G175="Custom",N(Y175),IF(OR($G175=Setup!$B$22,AND(Setup!$C$22&lt;&gt;"",$G175=Setup!$C$22)),1,0))))</f>
        <v>0</v>
      </c>
      <c r="AJ175" s="60" t="n">
        <f aca="false">IF(OR($S175=0,Setup!$B$23=""),0,IF(OR($G175="",$G175="Everyone"),1,IF($G175="Custom",N(Z175),IF(OR($G175=Setup!$B$23,AND(Setup!$C$23&lt;&gt;"",$G175=Setup!$C$23)),1,0))))</f>
        <v>0</v>
      </c>
      <c r="AK175" s="60" t="n">
        <f aca="false">IF(OR($S175=0,Setup!$B$24=""),0,IF(OR($G175="",$G175="Everyone"),1,IF($G175="Custom",N(AA175),IF(OR($G175=Setup!$B$24,AND(Setup!$C$24&lt;&gt;"",$G175=Setup!$C$24)),1,0))))</f>
        <v>0</v>
      </c>
      <c r="AL175" s="60" t="n">
        <f aca="false">IF(OR($S175=0,Setup!$B$25=""),0,IF(OR($G175="",$G175="Everyone"),1,IF($G175="Custom",N(AB175),IF(OR($G175=Setup!$B$25,AND(Setup!$C$25&lt;&gt;"",$G175=Setup!$C$25)),1,0))))</f>
        <v>0</v>
      </c>
      <c r="AM175" s="60" t="n">
        <f aca="false">IF(OR($S175=0,Setup!$B$26=""),0,IF(OR($G175="",$G175="Everyone"),1,IF($G175="Custom",N(AC175),IF(OR($G175=Setup!$B$26,AND(Setup!$C$26&lt;&gt;"",$G175=Setup!$C$26)),1,0))))</f>
        <v>0</v>
      </c>
      <c r="AN175" s="60" t="n">
        <f aca="false">IF(OR($S175=0,Setup!$B$27=""),0,IF(OR($G175="",$G175="Everyone"),1,IF($G175="Custom",N(AD175),IF(OR($G175=Setup!$B$27,AND(Setup!$C$27&lt;&gt;"",$G175=Setup!$C$27)),1,0))))</f>
        <v>0</v>
      </c>
      <c r="AO175" s="60" t="n">
        <f aca="false">IF(SUM(AE175:AN175)=0,1,SUM(AE175:AN175))</f>
        <v>1</v>
      </c>
      <c r="AP175" s="60" t="n">
        <f aca="false">IF(H175="Paid",1,0)</f>
        <v>0</v>
      </c>
      <c r="AQ175" s="60" t="n">
        <f aca="false">IF(AND(S175&gt;0,SUM(AE175:AN175)=0),S175,0)</f>
        <v>0</v>
      </c>
      <c r="AR175" s="60" t="str">
        <f aca="false">IF(AND(N175&lt;&gt;"",TodayDay&lt;&gt;"",N175=TodayDay),COUNTIF($N$6:N175,TodayDay),"")</f>
        <v/>
      </c>
      <c r="AS175" s="60" t="n">
        <f aca="false">IF(B175="",0,IF(COUNTIFS(Settings!$A$5:$A$29,B175,Settings!$B$5:$B$29,"Yes")&gt;0,1,0))</f>
        <v>0</v>
      </c>
      <c r="AT175" s="61" t="n">
        <f aca="false">IF(OR(N175="",TodayDay=""),IF(N175="",S175,0),IF(N175&lt;TodayDay,S175,0))</f>
        <v>0</v>
      </c>
    </row>
    <row r="176" customFormat="false" ht="15" hidden="false" customHeight="false" outlineLevel="0" collapsed="false">
      <c r="A176" s="23"/>
      <c r="B176" s="23"/>
      <c r="C176" s="23"/>
      <c r="D176" s="56"/>
      <c r="E176" s="23"/>
      <c r="F176" s="23"/>
      <c r="G176" s="23"/>
      <c r="H176" s="23"/>
      <c r="I176" s="56"/>
      <c r="J176" s="23"/>
      <c r="K176" s="28"/>
      <c r="L176" s="23"/>
      <c r="M176" s="23"/>
      <c r="N176" s="25" t="str">
        <f aca="false">IF(A176="","",IF(LEFT(A176,3)="Pre",0,IFERROR(VALUE(MID(A176,5,FIND(" ",A176&amp;" ",5)-5)),"")))</f>
        <v/>
      </c>
      <c r="O176" s="57" t="str">
        <f aca="false">IF(N176="","",IF(N176=0,"Before trip",IF(TripStart="","",TripStart+N176-1)))</f>
        <v/>
      </c>
      <c r="P176" s="58" t="str">
        <f aca="false">IF(AND(D176="",I176=""),"",IF(OR(E176="",E176=HomeCcy),1,IFERROR(INDEX(Setup!$J$26:$J$33,MATCH(E176,Setup!$G$26:$G$33,0)),IFERROR(INDEX(Settings!$S$5:$S$64,MATCH(E176,Settings!$R$5:$R$64,0))/HomeINR,1))))</f>
        <v/>
      </c>
      <c r="Q176" s="34" t="str">
        <f aca="false">IF(D176="","",D176*P176)</f>
        <v/>
      </c>
      <c r="R176" s="34" t="str">
        <f aca="false">IF(I176="","",I176*P176)</f>
        <v/>
      </c>
      <c r="S176" s="33" t="n">
        <f aca="false">IF(H176="Cancelled",0,IF(R176&lt;&gt;"",R176,IF(Q176&lt;&gt;"",Q176,0)))</f>
        <v>0</v>
      </c>
      <c r="T176" s="45" t="str">
        <f aca="false">IF(S176=0,"",IF(SUM(AE176:AN176)=0,"⚠ nobody picked",COUNTIF(AE176:AN176,"&gt;0")&amp;" people"))</f>
        <v/>
      </c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60" t="n">
        <f aca="false">IF(OR($S176=0,Setup!$B$18=""),0,IF(OR($G176="",$G176="Everyone"),1,IF($G176="Custom",N(U176),IF(OR($G176=Setup!$B$18,AND(Setup!$C$18&lt;&gt;"",$G176=Setup!$C$18)),1,0))))</f>
        <v>0</v>
      </c>
      <c r="AF176" s="60" t="n">
        <f aca="false">IF(OR($S176=0,Setup!$B$19=""),0,IF(OR($G176="",$G176="Everyone"),1,IF($G176="Custom",N(V176),IF(OR($G176=Setup!$B$19,AND(Setup!$C$19&lt;&gt;"",$G176=Setup!$C$19)),1,0))))</f>
        <v>0</v>
      </c>
      <c r="AG176" s="60" t="n">
        <f aca="false">IF(OR($S176=0,Setup!$B$20=""),0,IF(OR($G176="",$G176="Everyone"),1,IF($G176="Custom",N(W176),IF(OR($G176=Setup!$B$20,AND(Setup!$C$20&lt;&gt;"",$G176=Setup!$C$20)),1,0))))</f>
        <v>0</v>
      </c>
      <c r="AH176" s="60" t="n">
        <f aca="false">IF(OR($S176=0,Setup!$B$21=""),0,IF(OR($G176="",$G176="Everyone"),1,IF($G176="Custom",N(X176),IF(OR($G176=Setup!$B$21,AND(Setup!$C$21&lt;&gt;"",$G176=Setup!$C$21)),1,0))))</f>
        <v>0</v>
      </c>
      <c r="AI176" s="60" t="n">
        <f aca="false">IF(OR($S176=0,Setup!$B$22=""),0,IF(OR($G176="",$G176="Everyone"),1,IF($G176="Custom",N(Y176),IF(OR($G176=Setup!$B$22,AND(Setup!$C$22&lt;&gt;"",$G176=Setup!$C$22)),1,0))))</f>
        <v>0</v>
      </c>
      <c r="AJ176" s="60" t="n">
        <f aca="false">IF(OR($S176=0,Setup!$B$23=""),0,IF(OR($G176="",$G176="Everyone"),1,IF($G176="Custom",N(Z176),IF(OR($G176=Setup!$B$23,AND(Setup!$C$23&lt;&gt;"",$G176=Setup!$C$23)),1,0))))</f>
        <v>0</v>
      </c>
      <c r="AK176" s="60" t="n">
        <f aca="false">IF(OR($S176=0,Setup!$B$24=""),0,IF(OR($G176="",$G176="Everyone"),1,IF($G176="Custom",N(AA176),IF(OR($G176=Setup!$B$24,AND(Setup!$C$24&lt;&gt;"",$G176=Setup!$C$24)),1,0))))</f>
        <v>0</v>
      </c>
      <c r="AL176" s="60" t="n">
        <f aca="false">IF(OR($S176=0,Setup!$B$25=""),0,IF(OR($G176="",$G176="Everyone"),1,IF($G176="Custom",N(AB176),IF(OR($G176=Setup!$B$25,AND(Setup!$C$25&lt;&gt;"",$G176=Setup!$C$25)),1,0))))</f>
        <v>0</v>
      </c>
      <c r="AM176" s="60" t="n">
        <f aca="false">IF(OR($S176=0,Setup!$B$26=""),0,IF(OR($G176="",$G176="Everyone"),1,IF($G176="Custom",N(AC176),IF(OR($G176=Setup!$B$26,AND(Setup!$C$26&lt;&gt;"",$G176=Setup!$C$26)),1,0))))</f>
        <v>0</v>
      </c>
      <c r="AN176" s="60" t="n">
        <f aca="false">IF(OR($S176=0,Setup!$B$27=""),0,IF(OR($G176="",$G176="Everyone"),1,IF($G176="Custom",N(AD176),IF(OR($G176=Setup!$B$27,AND(Setup!$C$27&lt;&gt;"",$G176=Setup!$C$27)),1,0))))</f>
        <v>0</v>
      </c>
      <c r="AO176" s="60" t="n">
        <f aca="false">IF(SUM(AE176:AN176)=0,1,SUM(AE176:AN176))</f>
        <v>1</v>
      </c>
      <c r="AP176" s="60" t="n">
        <f aca="false">IF(H176="Paid",1,0)</f>
        <v>0</v>
      </c>
      <c r="AQ176" s="60" t="n">
        <f aca="false">IF(AND(S176&gt;0,SUM(AE176:AN176)=0),S176,0)</f>
        <v>0</v>
      </c>
      <c r="AR176" s="60" t="str">
        <f aca="false">IF(AND(N176&lt;&gt;"",TodayDay&lt;&gt;"",N176=TodayDay),COUNTIF($N$6:N176,TodayDay),"")</f>
        <v/>
      </c>
      <c r="AS176" s="60" t="n">
        <f aca="false">IF(B176="",0,IF(COUNTIFS(Settings!$A$5:$A$29,B176,Settings!$B$5:$B$29,"Yes")&gt;0,1,0))</f>
        <v>0</v>
      </c>
      <c r="AT176" s="61" t="n">
        <f aca="false">IF(OR(N176="",TodayDay=""),IF(N176="",S176,0),IF(N176&lt;TodayDay,S176,0))</f>
        <v>0</v>
      </c>
    </row>
    <row r="177" customFormat="false" ht="15" hidden="false" customHeight="false" outlineLevel="0" collapsed="false">
      <c r="A177" s="23"/>
      <c r="B177" s="23"/>
      <c r="C177" s="23"/>
      <c r="D177" s="56"/>
      <c r="E177" s="23"/>
      <c r="F177" s="23"/>
      <c r="G177" s="23"/>
      <c r="H177" s="23"/>
      <c r="I177" s="56"/>
      <c r="J177" s="23"/>
      <c r="K177" s="28"/>
      <c r="L177" s="23"/>
      <c r="M177" s="23"/>
      <c r="N177" s="25" t="str">
        <f aca="false">IF(A177="","",IF(LEFT(A177,3)="Pre",0,IFERROR(VALUE(MID(A177,5,FIND(" ",A177&amp;" ",5)-5)),"")))</f>
        <v/>
      </c>
      <c r="O177" s="57" t="str">
        <f aca="false">IF(N177="","",IF(N177=0,"Before trip",IF(TripStart="","",TripStart+N177-1)))</f>
        <v/>
      </c>
      <c r="P177" s="58" t="str">
        <f aca="false">IF(AND(D177="",I177=""),"",IF(OR(E177="",E177=HomeCcy),1,IFERROR(INDEX(Setup!$J$26:$J$33,MATCH(E177,Setup!$G$26:$G$33,0)),IFERROR(INDEX(Settings!$S$5:$S$64,MATCH(E177,Settings!$R$5:$R$64,0))/HomeINR,1))))</f>
        <v/>
      </c>
      <c r="Q177" s="34" t="str">
        <f aca="false">IF(D177="","",D177*P177)</f>
        <v/>
      </c>
      <c r="R177" s="34" t="str">
        <f aca="false">IF(I177="","",I177*P177)</f>
        <v/>
      </c>
      <c r="S177" s="33" t="n">
        <f aca="false">IF(H177="Cancelled",0,IF(R177&lt;&gt;"",R177,IF(Q177&lt;&gt;"",Q177,0)))</f>
        <v>0</v>
      </c>
      <c r="T177" s="45" t="str">
        <f aca="false">IF(S177=0,"",IF(SUM(AE177:AN177)=0,"⚠ nobody picked",COUNTIF(AE177:AN177,"&gt;0")&amp;" people"))</f>
        <v/>
      </c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60" t="n">
        <f aca="false">IF(OR($S177=0,Setup!$B$18=""),0,IF(OR($G177="",$G177="Everyone"),1,IF($G177="Custom",N(U177),IF(OR($G177=Setup!$B$18,AND(Setup!$C$18&lt;&gt;"",$G177=Setup!$C$18)),1,0))))</f>
        <v>0</v>
      </c>
      <c r="AF177" s="60" t="n">
        <f aca="false">IF(OR($S177=0,Setup!$B$19=""),0,IF(OR($G177="",$G177="Everyone"),1,IF($G177="Custom",N(V177),IF(OR($G177=Setup!$B$19,AND(Setup!$C$19&lt;&gt;"",$G177=Setup!$C$19)),1,0))))</f>
        <v>0</v>
      </c>
      <c r="AG177" s="60" t="n">
        <f aca="false">IF(OR($S177=0,Setup!$B$20=""),0,IF(OR($G177="",$G177="Everyone"),1,IF($G177="Custom",N(W177),IF(OR($G177=Setup!$B$20,AND(Setup!$C$20&lt;&gt;"",$G177=Setup!$C$20)),1,0))))</f>
        <v>0</v>
      </c>
      <c r="AH177" s="60" t="n">
        <f aca="false">IF(OR($S177=0,Setup!$B$21=""),0,IF(OR($G177="",$G177="Everyone"),1,IF($G177="Custom",N(X177),IF(OR($G177=Setup!$B$21,AND(Setup!$C$21&lt;&gt;"",$G177=Setup!$C$21)),1,0))))</f>
        <v>0</v>
      </c>
      <c r="AI177" s="60" t="n">
        <f aca="false">IF(OR($S177=0,Setup!$B$22=""),0,IF(OR($G177="",$G177="Everyone"),1,IF($G177="Custom",N(Y177),IF(OR($G177=Setup!$B$22,AND(Setup!$C$22&lt;&gt;"",$G177=Setup!$C$22)),1,0))))</f>
        <v>0</v>
      </c>
      <c r="AJ177" s="60" t="n">
        <f aca="false">IF(OR($S177=0,Setup!$B$23=""),0,IF(OR($G177="",$G177="Everyone"),1,IF($G177="Custom",N(Z177),IF(OR($G177=Setup!$B$23,AND(Setup!$C$23&lt;&gt;"",$G177=Setup!$C$23)),1,0))))</f>
        <v>0</v>
      </c>
      <c r="AK177" s="60" t="n">
        <f aca="false">IF(OR($S177=0,Setup!$B$24=""),0,IF(OR($G177="",$G177="Everyone"),1,IF($G177="Custom",N(AA177),IF(OR($G177=Setup!$B$24,AND(Setup!$C$24&lt;&gt;"",$G177=Setup!$C$24)),1,0))))</f>
        <v>0</v>
      </c>
      <c r="AL177" s="60" t="n">
        <f aca="false">IF(OR($S177=0,Setup!$B$25=""),0,IF(OR($G177="",$G177="Everyone"),1,IF($G177="Custom",N(AB177),IF(OR($G177=Setup!$B$25,AND(Setup!$C$25&lt;&gt;"",$G177=Setup!$C$25)),1,0))))</f>
        <v>0</v>
      </c>
      <c r="AM177" s="60" t="n">
        <f aca="false">IF(OR($S177=0,Setup!$B$26=""),0,IF(OR($G177="",$G177="Everyone"),1,IF($G177="Custom",N(AC177),IF(OR($G177=Setup!$B$26,AND(Setup!$C$26&lt;&gt;"",$G177=Setup!$C$26)),1,0))))</f>
        <v>0</v>
      </c>
      <c r="AN177" s="60" t="n">
        <f aca="false">IF(OR($S177=0,Setup!$B$27=""),0,IF(OR($G177="",$G177="Everyone"),1,IF($G177="Custom",N(AD177),IF(OR($G177=Setup!$B$27,AND(Setup!$C$27&lt;&gt;"",$G177=Setup!$C$27)),1,0))))</f>
        <v>0</v>
      </c>
      <c r="AO177" s="60" t="n">
        <f aca="false">IF(SUM(AE177:AN177)=0,1,SUM(AE177:AN177))</f>
        <v>1</v>
      </c>
      <c r="AP177" s="60" t="n">
        <f aca="false">IF(H177="Paid",1,0)</f>
        <v>0</v>
      </c>
      <c r="AQ177" s="60" t="n">
        <f aca="false">IF(AND(S177&gt;0,SUM(AE177:AN177)=0),S177,0)</f>
        <v>0</v>
      </c>
      <c r="AR177" s="60" t="str">
        <f aca="false">IF(AND(N177&lt;&gt;"",TodayDay&lt;&gt;"",N177=TodayDay),COUNTIF($N$6:N177,TodayDay),"")</f>
        <v/>
      </c>
      <c r="AS177" s="60" t="n">
        <f aca="false">IF(B177="",0,IF(COUNTIFS(Settings!$A$5:$A$29,B177,Settings!$B$5:$B$29,"Yes")&gt;0,1,0))</f>
        <v>0</v>
      </c>
      <c r="AT177" s="61" t="n">
        <f aca="false">IF(OR(N177="",TodayDay=""),IF(N177="",S177,0),IF(N177&lt;TodayDay,S177,0))</f>
        <v>0</v>
      </c>
    </row>
    <row r="178" customFormat="false" ht="15" hidden="false" customHeight="false" outlineLevel="0" collapsed="false">
      <c r="A178" s="23"/>
      <c r="B178" s="23"/>
      <c r="C178" s="23"/>
      <c r="D178" s="56"/>
      <c r="E178" s="23"/>
      <c r="F178" s="23"/>
      <c r="G178" s="23"/>
      <c r="H178" s="23"/>
      <c r="I178" s="56"/>
      <c r="J178" s="23"/>
      <c r="K178" s="28"/>
      <c r="L178" s="23"/>
      <c r="M178" s="23"/>
      <c r="N178" s="25" t="str">
        <f aca="false">IF(A178="","",IF(LEFT(A178,3)="Pre",0,IFERROR(VALUE(MID(A178,5,FIND(" ",A178&amp;" ",5)-5)),"")))</f>
        <v/>
      </c>
      <c r="O178" s="57" t="str">
        <f aca="false">IF(N178="","",IF(N178=0,"Before trip",IF(TripStart="","",TripStart+N178-1)))</f>
        <v/>
      </c>
      <c r="P178" s="58" t="str">
        <f aca="false">IF(AND(D178="",I178=""),"",IF(OR(E178="",E178=HomeCcy),1,IFERROR(INDEX(Setup!$J$26:$J$33,MATCH(E178,Setup!$G$26:$G$33,0)),IFERROR(INDEX(Settings!$S$5:$S$64,MATCH(E178,Settings!$R$5:$R$64,0))/HomeINR,1))))</f>
        <v/>
      </c>
      <c r="Q178" s="34" t="str">
        <f aca="false">IF(D178="","",D178*P178)</f>
        <v/>
      </c>
      <c r="R178" s="34" t="str">
        <f aca="false">IF(I178="","",I178*P178)</f>
        <v/>
      </c>
      <c r="S178" s="33" t="n">
        <f aca="false">IF(H178="Cancelled",0,IF(R178&lt;&gt;"",R178,IF(Q178&lt;&gt;"",Q178,0)))</f>
        <v>0</v>
      </c>
      <c r="T178" s="45" t="str">
        <f aca="false">IF(S178=0,"",IF(SUM(AE178:AN178)=0,"⚠ nobody picked",COUNTIF(AE178:AN178,"&gt;0")&amp;" people"))</f>
        <v/>
      </c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60" t="n">
        <f aca="false">IF(OR($S178=0,Setup!$B$18=""),0,IF(OR($G178="",$G178="Everyone"),1,IF($G178="Custom",N(U178),IF(OR($G178=Setup!$B$18,AND(Setup!$C$18&lt;&gt;"",$G178=Setup!$C$18)),1,0))))</f>
        <v>0</v>
      </c>
      <c r="AF178" s="60" t="n">
        <f aca="false">IF(OR($S178=0,Setup!$B$19=""),0,IF(OR($G178="",$G178="Everyone"),1,IF($G178="Custom",N(V178),IF(OR($G178=Setup!$B$19,AND(Setup!$C$19&lt;&gt;"",$G178=Setup!$C$19)),1,0))))</f>
        <v>0</v>
      </c>
      <c r="AG178" s="60" t="n">
        <f aca="false">IF(OR($S178=0,Setup!$B$20=""),0,IF(OR($G178="",$G178="Everyone"),1,IF($G178="Custom",N(W178),IF(OR($G178=Setup!$B$20,AND(Setup!$C$20&lt;&gt;"",$G178=Setup!$C$20)),1,0))))</f>
        <v>0</v>
      </c>
      <c r="AH178" s="60" t="n">
        <f aca="false">IF(OR($S178=0,Setup!$B$21=""),0,IF(OR($G178="",$G178="Everyone"),1,IF($G178="Custom",N(X178),IF(OR($G178=Setup!$B$21,AND(Setup!$C$21&lt;&gt;"",$G178=Setup!$C$21)),1,0))))</f>
        <v>0</v>
      </c>
      <c r="AI178" s="60" t="n">
        <f aca="false">IF(OR($S178=0,Setup!$B$22=""),0,IF(OR($G178="",$G178="Everyone"),1,IF($G178="Custom",N(Y178),IF(OR($G178=Setup!$B$22,AND(Setup!$C$22&lt;&gt;"",$G178=Setup!$C$22)),1,0))))</f>
        <v>0</v>
      </c>
      <c r="AJ178" s="60" t="n">
        <f aca="false">IF(OR($S178=0,Setup!$B$23=""),0,IF(OR($G178="",$G178="Everyone"),1,IF($G178="Custom",N(Z178),IF(OR($G178=Setup!$B$23,AND(Setup!$C$23&lt;&gt;"",$G178=Setup!$C$23)),1,0))))</f>
        <v>0</v>
      </c>
      <c r="AK178" s="60" t="n">
        <f aca="false">IF(OR($S178=0,Setup!$B$24=""),0,IF(OR($G178="",$G178="Everyone"),1,IF($G178="Custom",N(AA178),IF(OR($G178=Setup!$B$24,AND(Setup!$C$24&lt;&gt;"",$G178=Setup!$C$24)),1,0))))</f>
        <v>0</v>
      </c>
      <c r="AL178" s="60" t="n">
        <f aca="false">IF(OR($S178=0,Setup!$B$25=""),0,IF(OR($G178="",$G178="Everyone"),1,IF($G178="Custom",N(AB178),IF(OR($G178=Setup!$B$25,AND(Setup!$C$25&lt;&gt;"",$G178=Setup!$C$25)),1,0))))</f>
        <v>0</v>
      </c>
      <c r="AM178" s="60" t="n">
        <f aca="false">IF(OR($S178=0,Setup!$B$26=""),0,IF(OR($G178="",$G178="Everyone"),1,IF($G178="Custom",N(AC178),IF(OR($G178=Setup!$B$26,AND(Setup!$C$26&lt;&gt;"",$G178=Setup!$C$26)),1,0))))</f>
        <v>0</v>
      </c>
      <c r="AN178" s="60" t="n">
        <f aca="false">IF(OR($S178=0,Setup!$B$27=""),0,IF(OR($G178="",$G178="Everyone"),1,IF($G178="Custom",N(AD178),IF(OR($G178=Setup!$B$27,AND(Setup!$C$27&lt;&gt;"",$G178=Setup!$C$27)),1,0))))</f>
        <v>0</v>
      </c>
      <c r="AO178" s="60" t="n">
        <f aca="false">IF(SUM(AE178:AN178)=0,1,SUM(AE178:AN178))</f>
        <v>1</v>
      </c>
      <c r="AP178" s="60" t="n">
        <f aca="false">IF(H178="Paid",1,0)</f>
        <v>0</v>
      </c>
      <c r="AQ178" s="60" t="n">
        <f aca="false">IF(AND(S178&gt;0,SUM(AE178:AN178)=0),S178,0)</f>
        <v>0</v>
      </c>
      <c r="AR178" s="60" t="str">
        <f aca="false">IF(AND(N178&lt;&gt;"",TodayDay&lt;&gt;"",N178=TodayDay),COUNTIF($N$6:N178,TodayDay),"")</f>
        <v/>
      </c>
      <c r="AS178" s="60" t="n">
        <f aca="false">IF(B178="",0,IF(COUNTIFS(Settings!$A$5:$A$29,B178,Settings!$B$5:$B$29,"Yes")&gt;0,1,0))</f>
        <v>0</v>
      </c>
      <c r="AT178" s="61" t="n">
        <f aca="false">IF(OR(N178="",TodayDay=""),IF(N178="",S178,0),IF(N178&lt;TodayDay,S178,0))</f>
        <v>0</v>
      </c>
    </row>
    <row r="179" customFormat="false" ht="15" hidden="false" customHeight="false" outlineLevel="0" collapsed="false">
      <c r="A179" s="23"/>
      <c r="B179" s="23"/>
      <c r="C179" s="23"/>
      <c r="D179" s="56"/>
      <c r="E179" s="23"/>
      <c r="F179" s="23"/>
      <c r="G179" s="23"/>
      <c r="H179" s="23"/>
      <c r="I179" s="56"/>
      <c r="J179" s="23"/>
      <c r="K179" s="28"/>
      <c r="L179" s="23"/>
      <c r="M179" s="23"/>
      <c r="N179" s="25" t="str">
        <f aca="false">IF(A179="","",IF(LEFT(A179,3)="Pre",0,IFERROR(VALUE(MID(A179,5,FIND(" ",A179&amp;" ",5)-5)),"")))</f>
        <v/>
      </c>
      <c r="O179" s="57" t="str">
        <f aca="false">IF(N179="","",IF(N179=0,"Before trip",IF(TripStart="","",TripStart+N179-1)))</f>
        <v/>
      </c>
      <c r="P179" s="58" t="str">
        <f aca="false">IF(AND(D179="",I179=""),"",IF(OR(E179="",E179=HomeCcy),1,IFERROR(INDEX(Setup!$J$26:$J$33,MATCH(E179,Setup!$G$26:$G$33,0)),IFERROR(INDEX(Settings!$S$5:$S$64,MATCH(E179,Settings!$R$5:$R$64,0))/HomeINR,1))))</f>
        <v/>
      </c>
      <c r="Q179" s="34" t="str">
        <f aca="false">IF(D179="","",D179*P179)</f>
        <v/>
      </c>
      <c r="R179" s="34" t="str">
        <f aca="false">IF(I179="","",I179*P179)</f>
        <v/>
      </c>
      <c r="S179" s="33" t="n">
        <f aca="false">IF(H179="Cancelled",0,IF(R179&lt;&gt;"",R179,IF(Q179&lt;&gt;"",Q179,0)))</f>
        <v>0</v>
      </c>
      <c r="T179" s="45" t="str">
        <f aca="false">IF(S179=0,"",IF(SUM(AE179:AN179)=0,"⚠ nobody picked",COUNTIF(AE179:AN179,"&gt;0")&amp;" people"))</f>
        <v/>
      </c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60" t="n">
        <f aca="false">IF(OR($S179=0,Setup!$B$18=""),0,IF(OR($G179="",$G179="Everyone"),1,IF($G179="Custom",N(U179),IF(OR($G179=Setup!$B$18,AND(Setup!$C$18&lt;&gt;"",$G179=Setup!$C$18)),1,0))))</f>
        <v>0</v>
      </c>
      <c r="AF179" s="60" t="n">
        <f aca="false">IF(OR($S179=0,Setup!$B$19=""),0,IF(OR($G179="",$G179="Everyone"),1,IF($G179="Custom",N(V179),IF(OR($G179=Setup!$B$19,AND(Setup!$C$19&lt;&gt;"",$G179=Setup!$C$19)),1,0))))</f>
        <v>0</v>
      </c>
      <c r="AG179" s="60" t="n">
        <f aca="false">IF(OR($S179=0,Setup!$B$20=""),0,IF(OR($G179="",$G179="Everyone"),1,IF($G179="Custom",N(W179),IF(OR($G179=Setup!$B$20,AND(Setup!$C$20&lt;&gt;"",$G179=Setup!$C$20)),1,0))))</f>
        <v>0</v>
      </c>
      <c r="AH179" s="60" t="n">
        <f aca="false">IF(OR($S179=0,Setup!$B$21=""),0,IF(OR($G179="",$G179="Everyone"),1,IF($G179="Custom",N(X179),IF(OR($G179=Setup!$B$21,AND(Setup!$C$21&lt;&gt;"",$G179=Setup!$C$21)),1,0))))</f>
        <v>0</v>
      </c>
      <c r="AI179" s="60" t="n">
        <f aca="false">IF(OR($S179=0,Setup!$B$22=""),0,IF(OR($G179="",$G179="Everyone"),1,IF($G179="Custom",N(Y179),IF(OR($G179=Setup!$B$22,AND(Setup!$C$22&lt;&gt;"",$G179=Setup!$C$22)),1,0))))</f>
        <v>0</v>
      </c>
      <c r="AJ179" s="60" t="n">
        <f aca="false">IF(OR($S179=0,Setup!$B$23=""),0,IF(OR($G179="",$G179="Everyone"),1,IF($G179="Custom",N(Z179),IF(OR($G179=Setup!$B$23,AND(Setup!$C$23&lt;&gt;"",$G179=Setup!$C$23)),1,0))))</f>
        <v>0</v>
      </c>
      <c r="AK179" s="60" t="n">
        <f aca="false">IF(OR($S179=0,Setup!$B$24=""),0,IF(OR($G179="",$G179="Everyone"),1,IF($G179="Custom",N(AA179),IF(OR($G179=Setup!$B$24,AND(Setup!$C$24&lt;&gt;"",$G179=Setup!$C$24)),1,0))))</f>
        <v>0</v>
      </c>
      <c r="AL179" s="60" t="n">
        <f aca="false">IF(OR($S179=0,Setup!$B$25=""),0,IF(OR($G179="",$G179="Everyone"),1,IF($G179="Custom",N(AB179),IF(OR($G179=Setup!$B$25,AND(Setup!$C$25&lt;&gt;"",$G179=Setup!$C$25)),1,0))))</f>
        <v>0</v>
      </c>
      <c r="AM179" s="60" t="n">
        <f aca="false">IF(OR($S179=0,Setup!$B$26=""),0,IF(OR($G179="",$G179="Everyone"),1,IF($G179="Custom",N(AC179),IF(OR($G179=Setup!$B$26,AND(Setup!$C$26&lt;&gt;"",$G179=Setup!$C$26)),1,0))))</f>
        <v>0</v>
      </c>
      <c r="AN179" s="60" t="n">
        <f aca="false">IF(OR($S179=0,Setup!$B$27=""),0,IF(OR($G179="",$G179="Everyone"),1,IF($G179="Custom",N(AD179),IF(OR($G179=Setup!$B$27,AND(Setup!$C$27&lt;&gt;"",$G179=Setup!$C$27)),1,0))))</f>
        <v>0</v>
      </c>
      <c r="AO179" s="60" t="n">
        <f aca="false">IF(SUM(AE179:AN179)=0,1,SUM(AE179:AN179))</f>
        <v>1</v>
      </c>
      <c r="AP179" s="60" t="n">
        <f aca="false">IF(H179="Paid",1,0)</f>
        <v>0</v>
      </c>
      <c r="AQ179" s="60" t="n">
        <f aca="false">IF(AND(S179&gt;0,SUM(AE179:AN179)=0),S179,0)</f>
        <v>0</v>
      </c>
      <c r="AR179" s="60" t="str">
        <f aca="false">IF(AND(N179&lt;&gt;"",TodayDay&lt;&gt;"",N179=TodayDay),COUNTIF($N$6:N179,TodayDay),"")</f>
        <v/>
      </c>
      <c r="AS179" s="60" t="n">
        <f aca="false">IF(B179="",0,IF(COUNTIFS(Settings!$A$5:$A$29,B179,Settings!$B$5:$B$29,"Yes")&gt;0,1,0))</f>
        <v>0</v>
      </c>
      <c r="AT179" s="61" t="n">
        <f aca="false">IF(OR(N179="",TodayDay=""),IF(N179="",S179,0),IF(N179&lt;TodayDay,S179,0))</f>
        <v>0</v>
      </c>
    </row>
    <row r="180" customFormat="false" ht="15" hidden="false" customHeight="false" outlineLevel="0" collapsed="false">
      <c r="A180" s="23"/>
      <c r="B180" s="23"/>
      <c r="C180" s="23"/>
      <c r="D180" s="56"/>
      <c r="E180" s="23"/>
      <c r="F180" s="23"/>
      <c r="G180" s="23"/>
      <c r="H180" s="23"/>
      <c r="I180" s="56"/>
      <c r="J180" s="23"/>
      <c r="K180" s="28"/>
      <c r="L180" s="23"/>
      <c r="M180" s="23"/>
      <c r="N180" s="25" t="str">
        <f aca="false">IF(A180="","",IF(LEFT(A180,3)="Pre",0,IFERROR(VALUE(MID(A180,5,FIND(" ",A180&amp;" ",5)-5)),"")))</f>
        <v/>
      </c>
      <c r="O180" s="57" t="str">
        <f aca="false">IF(N180="","",IF(N180=0,"Before trip",IF(TripStart="","",TripStart+N180-1)))</f>
        <v/>
      </c>
      <c r="P180" s="58" t="str">
        <f aca="false">IF(AND(D180="",I180=""),"",IF(OR(E180="",E180=HomeCcy),1,IFERROR(INDEX(Setup!$J$26:$J$33,MATCH(E180,Setup!$G$26:$G$33,0)),IFERROR(INDEX(Settings!$S$5:$S$64,MATCH(E180,Settings!$R$5:$R$64,0))/HomeINR,1))))</f>
        <v/>
      </c>
      <c r="Q180" s="34" t="str">
        <f aca="false">IF(D180="","",D180*P180)</f>
        <v/>
      </c>
      <c r="R180" s="34" t="str">
        <f aca="false">IF(I180="","",I180*P180)</f>
        <v/>
      </c>
      <c r="S180" s="33" t="n">
        <f aca="false">IF(H180="Cancelled",0,IF(R180&lt;&gt;"",R180,IF(Q180&lt;&gt;"",Q180,0)))</f>
        <v>0</v>
      </c>
      <c r="T180" s="45" t="str">
        <f aca="false">IF(S180=0,"",IF(SUM(AE180:AN180)=0,"⚠ nobody picked",COUNTIF(AE180:AN180,"&gt;0")&amp;" people"))</f>
        <v/>
      </c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60" t="n">
        <f aca="false">IF(OR($S180=0,Setup!$B$18=""),0,IF(OR($G180="",$G180="Everyone"),1,IF($G180="Custom",N(U180),IF(OR($G180=Setup!$B$18,AND(Setup!$C$18&lt;&gt;"",$G180=Setup!$C$18)),1,0))))</f>
        <v>0</v>
      </c>
      <c r="AF180" s="60" t="n">
        <f aca="false">IF(OR($S180=0,Setup!$B$19=""),0,IF(OR($G180="",$G180="Everyone"),1,IF($G180="Custom",N(V180),IF(OR($G180=Setup!$B$19,AND(Setup!$C$19&lt;&gt;"",$G180=Setup!$C$19)),1,0))))</f>
        <v>0</v>
      </c>
      <c r="AG180" s="60" t="n">
        <f aca="false">IF(OR($S180=0,Setup!$B$20=""),0,IF(OR($G180="",$G180="Everyone"),1,IF($G180="Custom",N(W180),IF(OR($G180=Setup!$B$20,AND(Setup!$C$20&lt;&gt;"",$G180=Setup!$C$20)),1,0))))</f>
        <v>0</v>
      </c>
      <c r="AH180" s="60" t="n">
        <f aca="false">IF(OR($S180=0,Setup!$B$21=""),0,IF(OR($G180="",$G180="Everyone"),1,IF($G180="Custom",N(X180),IF(OR($G180=Setup!$B$21,AND(Setup!$C$21&lt;&gt;"",$G180=Setup!$C$21)),1,0))))</f>
        <v>0</v>
      </c>
      <c r="AI180" s="60" t="n">
        <f aca="false">IF(OR($S180=0,Setup!$B$22=""),0,IF(OR($G180="",$G180="Everyone"),1,IF($G180="Custom",N(Y180),IF(OR($G180=Setup!$B$22,AND(Setup!$C$22&lt;&gt;"",$G180=Setup!$C$22)),1,0))))</f>
        <v>0</v>
      </c>
      <c r="AJ180" s="60" t="n">
        <f aca="false">IF(OR($S180=0,Setup!$B$23=""),0,IF(OR($G180="",$G180="Everyone"),1,IF($G180="Custom",N(Z180),IF(OR($G180=Setup!$B$23,AND(Setup!$C$23&lt;&gt;"",$G180=Setup!$C$23)),1,0))))</f>
        <v>0</v>
      </c>
      <c r="AK180" s="60" t="n">
        <f aca="false">IF(OR($S180=0,Setup!$B$24=""),0,IF(OR($G180="",$G180="Everyone"),1,IF($G180="Custom",N(AA180),IF(OR($G180=Setup!$B$24,AND(Setup!$C$24&lt;&gt;"",$G180=Setup!$C$24)),1,0))))</f>
        <v>0</v>
      </c>
      <c r="AL180" s="60" t="n">
        <f aca="false">IF(OR($S180=0,Setup!$B$25=""),0,IF(OR($G180="",$G180="Everyone"),1,IF($G180="Custom",N(AB180),IF(OR($G180=Setup!$B$25,AND(Setup!$C$25&lt;&gt;"",$G180=Setup!$C$25)),1,0))))</f>
        <v>0</v>
      </c>
      <c r="AM180" s="60" t="n">
        <f aca="false">IF(OR($S180=0,Setup!$B$26=""),0,IF(OR($G180="",$G180="Everyone"),1,IF($G180="Custom",N(AC180),IF(OR($G180=Setup!$B$26,AND(Setup!$C$26&lt;&gt;"",$G180=Setup!$C$26)),1,0))))</f>
        <v>0</v>
      </c>
      <c r="AN180" s="60" t="n">
        <f aca="false">IF(OR($S180=0,Setup!$B$27=""),0,IF(OR($G180="",$G180="Everyone"),1,IF($G180="Custom",N(AD180),IF(OR($G180=Setup!$B$27,AND(Setup!$C$27&lt;&gt;"",$G180=Setup!$C$27)),1,0))))</f>
        <v>0</v>
      </c>
      <c r="AO180" s="60" t="n">
        <f aca="false">IF(SUM(AE180:AN180)=0,1,SUM(AE180:AN180))</f>
        <v>1</v>
      </c>
      <c r="AP180" s="60" t="n">
        <f aca="false">IF(H180="Paid",1,0)</f>
        <v>0</v>
      </c>
      <c r="AQ180" s="60" t="n">
        <f aca="false">IF(AND(S180&gt;0,SUM(AE180:AN180)=0),S180,0)</f>
        <v>0</v>
      </c>
      <c r="AR180" s="60" t="str">
        <f aca="false">IF(AND(N180&lt;&gt;"",TodayDay&lt;&gt;"",N180=TodayDay),COUNTIF($N$6:N180,TodayDay),"")</f>
        <v/>
      </c>
      <c r="AS180" s="60" t="n">
        <f aca="false">IF(B180="",0,IF(COUNTIFS(Settings!$A$5:$A$29,B180,Settings!$B$5:$B$29,"Yes")&gt;0,1,0))</f>
        <v>0</v>
      </c>
      <c r="AT180" s="61" t="n">
        <f aca="false">IF(OR(N180="",TodayDay=""),IF(N180="",S180,0),IF(N180&lt;TodayDay,S180,0))</f>
        <v>0</v>
      </c>
    </row>
    <row r="181" customFormat="false" ht="15" hidden="false" customHeight="false" outlineLevel="0" collapsed="false">
      <c r="A181" s="23"/>
      <c r="B181" s="23"/>
      <c r="C181" s="23"/>
      <c r="D181" s="56"/>
      <c r="E181" s="23"/>
      <c r="F181" s="23"/>
      <c r="G181" s="23"/>
      <c r="H181" s="23"/>
      <c r="I181" s="56"/>
      <c r="J181" s="23"/>
      <c r="K181" s="28"/>
      <c r="L181" s="23"/>
      <c r="M181" s="23"/>
      <c r="N181" s="25" t="str">
        <f aca="false">IF(A181="","",IF(LEFT(A181,3)="Pre",0,IFERROR(VALUE(MID(A181,5,FIND(" ",A181&amp;" ",5)-5)),"")))</f>
        <v/>
      </c>
      <c r="O181" s="57" t="str">
        <f aca="false">IF(N181="","",IF(N181=0,"Before trip",IF(TripStart="","",TripStart+N181-1)))</f>
        <v/>
      </c>
      <c r="P181" s="58" t="str">
        <f aca="false">IF(AND(D181="",I181=""),"",IF(OR(E181="",E181=HomeCcy),1,IFERROR(INDEX(Setup!$J$26:$J$33,MATCH(E181,Setup!$G$26:$G$33,0)),IFERROR(INDEX(Settings!$S$5:$S$64,MATCH(E181,Settings!$R$5:$R$64,0))/HomeINR,1))))</f>
        <v/>
      </c>
      <c r="Q181" s="34" t="str">
        <f aca="false">IF(D181="","",D181*P181)</f>
        <v/>
      </c>
      <c r="R181" s="34" t="str">
        <f aca="false">IF(I181="","",I181*P181)</f>
        <v/>
      </c>
      <c r="S181" s="33" t="n">
        <f aca="false">IF(H181="Cancelled",0,IF(R181&lt;&gt;"",R181,IF(Q181&lt;&gt;"",Q181,0)))</f>
        <v>0</v>
      </c>
      <c r="T181" s="45" t="str">
        <f aca="false">IF(S181=0,"",IF(SUM(AE181:AN181)=0,"⚠ nobody picked",COUNTIF(AE181:AN181,"&gt;0")&amp;" people"))</f>
        <v/>
      </c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60" t="n">
        <f aca="false">IF(OR($S181=0,Setup!$B$18=""),0,IF(OR($G181="",$G181="Everyone"),1,IF($G181="Custom",N(U181),IF(OR($G181=Setup!$B$18,AND(Setup!$C$18&lt;&gt;"",$G181=Setup!$C$18)),1,0))))</f>
        <v>0</v>
      </c>
      <c r="AF181" s="60" t="n">
        <f aca="false">IF(OR($S181=0,Setup!$B$19=""),0,IF(OR($G181="",$G181="Everyone"),1,IF($G181="Custom",N(V181),IF(OR($G181=Setup!$B$19,AND(Setup!$C$19&lt;&gt;"",$G181=Setup!$C$19)),1,0))))</f>
        <v>0</v>
      </c>
      <c r="AG181" s="60" t="n">
        <f aca="false">IF(OR($S181=0,Setup!$B$20=""),0,IF(OR($G181="",$G181="Everyone"),1,IF($G181="Custom",N(W181),IF(OR($G181=Setup!$B$20,AND(Setup!$C$20&lt;&gt;"",$G181=Setup!$C$20)),1,0))))</f>
        <v>0</v>
      </c>
      <c r="AH181" s="60" t="n">
        <f aca="false">IF(OR($S181=0,Setup!$B$21=""),0,IF(OR($G181="",$G181="Everyone"),1,IF($G181="Custom",N(X181),IF(OR($G181=Setup!$B$21,AND(Setup!$C$21&lt;&gt;"",$G181=Setup!$C$21)),1,0))))</f>
        <v>0</v>
      </c>
      <c r="AI181" s="60" t="n">
        <f aca="false">IF(OR($S181=0,Setup!$B$22=""),0,IF(OR($G181="",$G181="Everyone"),1,IF($G181="Custom",N(Y181),IF(OR($G181=Setup!$B$22,AND(Setup!$C$22&lt;&gt;"",$G181=Setup!$C$22)),1,0))))</f>
        <v>0</v>
      </c>
      <c r="AJ181" s="60" t="n">
        <f aca="false">IF(OR($S181=0,Setup!$B$23=""),0,IF(OR($G181="",$G181="Everyone"),1,IF($G181="Custom",N(Z181),IF(OR($G181=Setup!$B$23,AND(Setup!$C$23&lt;&gt;"",$G181=Setup!$C$23)),1,0))))</f>
        <v>0</v>
      </c>
      <c r="AK181" s="60" t="n">
        <f aca="false">IF(OR($S181=0,Setup!$B$24=""),0,IF(OR($G181="",$G181="Everyone"),1,IF($G181="Custom",N(AA181),IF(OR($G181=Setup!$B$24,AND(Setup!$C$24&lt;&gt;"",$G181=Setup!$C$24)),1,0))))</f>
        <v>0</v>
      </c>
      <c r="AL181" s="60" t="n">
        <f aca="false">IF(OR($S181=0,Setup!$B$25=""),0,IF(OR($G181="",$G181="Everyone"),1,IF($G181="Custom",N(AB181),IF(OR($G181=Setup!$B$25,AND(Setup!$C$25&lt;&gt;"",$G181=Setup!$C$25)),1,0))))</f>
        <v>0</v>
      </c>
      <c r="AM181" s="60" t="n">
        <f aca="false">IF(OR($S181=0,Setup!$B$26=""),0,IF(OR($G181="",$G181="Everyone"),1,IF($G181="Custom",N(AC181),IF(OR($G181=Setup!$B$26,AND(Setup!$C$26&lt;&gt;"",$G181=Setup!$C$26)),1,0))))</f>
        <v>0</v>
      </c>
      <c r="AN181" s="60" t="n">
        <f aca="false">IF(OR($S181=0,Setup!$B$27=""),0,IF(OR($G181="",$G181="Everyone"),1,IF($G181="Custom",N(AD181),IF(OR($G181=Setup!$B$27,AND(Setup!$C$27&lt;&gt;"",$G181=Setup!$C$27)),1,0))))</f>
        <v>0</v>
      </c>
      <c r="AO181" s="60" t="n">
        <f aca="false">IF(SUM(AE181:AN181)=0,1,SUM(AE181:AN181))</f>
        <v>1</v>
      </c>
      <c r="AP181" s="60" t="n">
        <f aca="false">IF(H181="Paid",1,0)</f>
        <v>0</v>
      </c>
      <c r="AQ181" s="60" t="n">
        <f aca="false">IF(AND(S181&gt;0,SUM(AE181:AN181)=0),S181,0)</f>
        <v>0</v>
      </c>
      <c r="AR181" s="60" t="str">
        <f aca="false">IF(AND(N181&lt;&gt;"",TodayDay&lt;&gt;"",N181=TodayDay),COUNTIF($N$6:N181,TodayDay),"")</f>
        <v/>
      </c>
      <c r="AS181" s="60" t="n">
        <f aca="false">IF(B181="",0,IF(COUNTIFS(Settings!$A$5:$A$29,B181,Settings!$B$5:$B$29,"Yes")&gt;0,1,0))</f>
        <v>0</v>
      </c>
      <c r="AT181" s="61" t="n">
        <f aca="false">IF(OR(N181="",TodayDay=""),IF(N181="",S181,0),IF(N181&lt;TodayDay,S181,0))</f>
        <v>0</v>
      </c>
    </row>
    <row r="182" customFormat="false" ht="15" hidden="false" customHeight="false" outlineLevel="0" collapsed="false">
      <c r="A182" s="23"/>
      <c r="B182" s="23"/>
      <c r="C182" s="23"/>
      <c r="D182" s="56"/>
      <c r="E182" s="23"/>
      <c r="F182" s="23"/>
      <c r="G182" s="23"/>
      <c r="H182" s="23"/>
      <c r="I182" s="56"/>
      <c r="J182" s="23"/>
      <c r="K182" s="28"/>
      <c r="L182" s="23"/>
      <c r="M182" s="23"/>
      <c r="N182" s="25" t="str">
        <f aca="false">IF(A182="","",IF(LEFT(A182,3)="Pre",0,IFERROR(VALUE(MID(A182,5,FIND(" ",A182&amp;" ",5)-5)),"")))</f>
        <v/>
      </c>
      <c r="O182" s="57" t="str">
        <f aca="false">IF(N182="","",IF(N182=0,"Before trip",IF(TripStart="","",TripStart+N182-1)))</f>
        <v/>
      </c>
      <c r="P182" s="58" t="str">
        <f aca="false">IF(AND(D182="",I182=""),"",IF(OR(E182="",E182=HomeCcy),1,IFERROR(INDEX(Setup!$J$26:$J$33,MATCH(E182,Setup!$G$26:$G$33,0)),IFERROR(INDEX(Settings!$S$5:$S$64,MATCH(E182,Settings!$R$5:$R$64,0))/HomeINR,1))))</f>
        <v/>
      </c>
      <c r="Q182" s="34" t="str">
        <f aca="false">IF(D182="","",D182*P182)</f>
        <v/>
      </c>
      <c r="R182" s="34" t="str">
        <f aca="false">IF(I182="","",I182*P182)</f>
        <v/>
      </c>
      <c r="S182" s="33" t="n">
        <f aca="false">IF(H182="Cancelled",0,IF(R182&lt;&gt;"",R182,IF(Q182&lt;&gt;"",Q182,0)))</f>
        <v>0</v>
      </c>
      <c r="T182" s="45" t="str">
        <f aca="false">IF(S182=0,"",IF(SUM(AE182:AN182)=0,"⚠ nobody picked",COUNTIF(AE182:AN182,"&gt;0")&amp;" people"))</f>
        <v/>
      </c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60" t="n">
        <f aca="false">IF(OR($S182=0,Setup!$B$18=""),0,IF(OR($G182="",$G182="Everyone"),1,IF($G182="Custom",N(U182),IF(OR($G182=Setup!$B$18,AND(Setup!$C$18&lt;&gt;"",$G182=Setup!$C$18)),1,0))))</f>
        <v>0</v>
      </c>
      <c r="AF182" s="60" t="n">
        <f aca="false">IF(OR($S182=0,Setup!$B$19=""),0,IF(OR($G182="",$G182="Everyone"),1,IF($G182="Custom",N(V182),IF(OR($G182=Setup!$B$19,AND(Setup!$C$19&lt;&gt;"",$G182=Setup!$C$19)),1,0))))</f>
        <v>0</v>
      </c>
      <c r="AG182" s="60" t="n">
        <f aca="false">IF(OR($S182=0,Setup!$B$20=""),0,IF(OR($G182="",$G182="Everyone"),1,IF($G182="Custom",N(W182),IF(OR($G182=Setup!$B$20,AND(Setup!$C$20&lt;&gt;"",$G182=Setup!$C$20)),1,0))))</f>
        <v>0</v>
      </c>
      <c r="AH182" s="60" t="n">
        <f aca="false">IF(OR($S182=0,Setup!$B$21=""),0,IF(OR($G182="",$G182="Everyone"),1,IF($G182="Custom",N(X182),IF(OR($G182=Setup!$B$21,AND(Setup!$C$21&lt;&gt;"",$G182=Setup!$C$21)),1,0))))</f>
        <v>0</v>
      </c>
      <c r="AI182" s="60" t="n">
        <f aca="false">IF(OR($S182=0,Setup!$B$22=""),0,IF(OR($G182="",$G182="Everyone"),1,IF($G182="Custom",N(Y182),IF(OR($G182=Setup!$B$22,AND(Setup!$C$22&lt;&gt;"",$G182=Setup!$C$22)),1,0))))</f>
        <v>0</v>
      </c>
      <c r="AJ182" s="60" t="n">
        <f aca="false">IF(OR($S182=0,Setup!$B$23=""),0,IF(OR($G182="",$G182="Everyone"),1,IF($G182="Custom",N(Z182),IF(OR($G182=Setup!$B$23,AND(Setup!$C$23&lt;&gt;"",$G182=Setup!$C$23)),1,0))))</f>
        <v>0</v>
      </c>
      <c r="AK182" s="60" t="n">
        <f aca="false">IF(OR($S182=0,Setup!$B$24=""),0,IF(OR($G182="",$G182="Everyone"),1,IF($G182="Custom",N(AA182),IF(OR($G182=Setup!$B$24,AND(Setup!$C$24&lt;&gt;"",$G182=Setup!$C$24)),1,0))))</f>
        <v>0</v>
      </c>
      <c r="AL182" s="60" t="n">
        <f aca="false">IF(OR($S182=0,Setup!$B$25=""),0,IF(OR($G182="",$G182="Everyone"),1,IF($G182="Custom",N(AB182),IF(OR($G182=Setup!$B$25,AND(Setup!$C$25&lt;&gt;"",$G182=Setup!$C$25)),1,0))))</f>
        <v>0</v>
      </c>
      <c r="AM182" s="60" t="n">
        <f aca="false">IF(OR($S182=0,Setup!$B$26=""),0,IF(OR($G182="",$G182="Everyone"),1,IF($G182="Custom",N(AC182),IF(OR($G182=Setup!$B$26,AND(Setup!$C$26&lt;&gt;"",$G182=Setup!$C$26)),1,0))))</f>
        <v>0</v>
      </c>
      <c r="AN182" s="60" t="n">
        <f aca="false">IF(OR($S182=0,Setup!$B$27=""),0,IF(OR($G182="",$G182="Everyone"),1,IF($G182="Custom",N(AD182),IF(OR($G182=Setup!$B$27,AND(Setup!$C$27&lt;&gt;"",$G182=Setup!$C$27)),1,0))))</f>
        <v>0</v>
      </c>
      <c r="AO182" s="60" t="n">
        <f aca="false">IF(SUM(AE182:AN182)=0,1,SUM(AE182:AN182))</f>
        <v>1</v>
      </c>
      <c r="AP182" s="60" t="n">
        <f aca="false">IF(H182="Paid",1,0)</f>
        <v>0</v>
      </c>
      <c r="AQ182" s="60" t="n">
        <f aca="false">IF(AND(S182&gt;0,SUM(AE182:AN182)=0),S182,0)</f>
        <v>0</v>
      </c>
      <c r="AR182" s="60" t="str">
        <f aca="false">IF(AND(N182&lt;&gt;"",TodayDay&lt;&gt;"",N182=TodayDay),COUNTIF($N$6:N182,TodayDay),"")</f>
        <v/>
      </c>
      <c r="AS182" s="60" t="n">
        <f aca="false">IF(B182="",0,IF(COUNTIFS(Settings!$A$5:$A$29,B182,Settings!$B$5:$B$29,"Yes")&gt;0,1,0))</f>
        <v>0</v>
      </c>
      <c r="AT182" s="61" t="n">
        <f aca="false">IF(OR(N182="",TodayDay=""),IF(N182="",S182,0),IF(N182&lt;TodayDay,S182,0))</f>
        <v>0</v>
      </c>
    </row>
    <row r="183" customFormat="false" ht="15" hidden="false" customHeight="false" outlineLevel="0" collapsed="false">
      <c r="A183" s="23"/>
      <c r="B183" s="23"/>
      <c r="C183" s="23"/>
      <c r="D183" s="56"/>
      <c r="E183" s="23"/>
      <c r="F183" s="23"/>
      <c r="G183" s="23"/>
      <c r="H183" s="23"/>
      <c r="I183" s="56"/>
      <c r="J183" s="23"/>
      <c r="K183" s="28"/>
      <c r="L183" s="23"/>
      <c r="M183" s="23"/>
      <c r="N183" s="25" t="str">
        <f aca="false">IF(A183="","",IF(LEFT(A183,3)="Pre",0,IFERROR(VALUE(MID(A183,5,FIND(" ",A183&amp;" ",5)-5)),"")))</f>
        <v/>
      </c>
      <c r="O183" s="57" t="str">
        <f aca="false">IF(N183="","",IF(N183=0,"Before trip",IF(TripStart="","",TripStart+N183-1)))</f>
        <v/>
      </c>
      <c r="P183" s="58" t="str">
        <f aca="false">IF(AND(D183="",I183=""),"",IF(OR(E183="",E183=HomeCcy),1,IFERROR(INDEX(Setup!$J$26:$J$33,MATCH(E183,Setup!$G$26:$G$33,0)),IFERROR(INDEX(Settings!$S$5:$S$64,MATCH(E183,Settings!$R$5:$R$64,0))/HomeINR,1))))</f>
        <v/>
      </c>
      <c r="Q183" s="34" t="str">
        <f aca="false">IF(D183="","",D183*P183)</f>
        <v/>
      </c>
      <c r="R183" s="34" t="str">
        <f aca="false">IF(I183="","",I183*P183)</f>
        <v/>
      </c>
      <c r="S183" s="33" t="n">
        <f aca="false">IF(H183="Cancelled",0,IF(R183&lt;&gt;"",R183,IF(Q183&lt;&gt;"",Q183,0)))</f>
        <v>0</v>
      </c>
      <c r="T183" s="45" t="str">
        <f aca="false">IF(S183=0,"",IF(SUM(AE183:AN183)=0,"⚠ nobody picked",COUNTIF(AE183:AN183,"&gt;0")&amp;" people"))</f>
        <v/>
      </c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60" t="n">
        <f aca="false">IF(OR($S183=0,Setup!$B$18=""),0,IF(OR($G183="",$G183="Everyone"),1,IF($G183="Custom",N(U183),IF(OR($G183=Setup!$B$18,AND(Setup!$C$18&lt;&gt;"",$G183=Setup!$C$18)),1,0))))</f>
        <v>0</v>
      </c>
      <c r="AF183" s="60" t="n">
        <f aca="false">IF(OR($S183=0,Setup!$B$19=""),0,IF(OR($G183="",$G183="Everyone"),1,IF($G183="Custom",N(V183),IF(OR($G183=Setup!$B$19,AND(Setup!$C$19&lt;&gt;"",$G183=Setup!$C$19)),1,0))))</f>
        <v>0</v>
      </c>
      <c r="AG183" s="60" t="n">
        <f aca="false">IF(OR($S183=0,Setup!$B$20=""),0,IF(OR($G183="",$G183="Everyone"),1,IF($G183="Custom",N(W183),IF(OR($G183=Setup!$B$20,AND(Setup!$C$20&lt;&gt;"",$G183=Setup!$C$20)),1,0))))</f>
        <v>0</v>
      </c>
      <c r="AH183" s="60" t="n">
        <f aca="false">IF(OR($S183=0,Setup!$B$21=""),0,IF(OR($G183="",$G183="Everyone"),1,IF($G183="Custom",N(X183),IF(OR($G183=Setup!$B$21,AND(Setup!$C$21&lt;&gt;"",$G183=Setup!$C$21)),1,0))))</f>
        <v>0</v>
      </c>
      <c r="AI183" s="60" t="n">
        <f aca="false">IF(OR($S183=0,Setup!$B$22=""),0,IF(OR($G183="",$G183="Everyone"),1,IF($G183="Custom",N(Y183),IF(OR($G183=Setup!$B$22,AND(Setup!$C$22&lt;&gt;"",$G183=Setup!$C$22)),1,0))))</f>
        <v>0</v>
      </c>
      <c r="AJ183" s="60" t="n">
        <f aca="false">IF(OR($S183=0,Setup!$B$23=""),0,IF(OR($G183="",$G183="Everyone"),1,IF($G183="Custom",N(Z183),IF(OR($G183=Setup!$B$23,AND(Setup!$C$23&lt;&gt;"",$G183=Setup!$C$23)),1,0))))</f>
        <v>0</v>
      </c>
      <c r="AK183" s="60" t="n">
        <f aca="false">IF(OR($S183=0,Setup!$B$24=""),0,IF(OR($G183="",$G183="Everyone"),1,IF($G183="Custom",N(AA183),IF(OR($G183=Setup!$B$24,AND(Setup!$C$24&lt;&gt;"",$G183=Setup!$C$24)),1,0))))</f>
        <v>0</v>
      </c>
      <c r="AL183" s="60" t="n">
        <f aca="false">IF(OR($S183=0,Setup!$B$25=""),0,IF(OR($G183="",$G183="Everyone"),1,IF($G183="Custom",N(AB183),IF(OR($G183=Setup!$B$25,AND(Setup!$C$25&lt;&gt;"",$G183=Setup!$C$25)),1,0))))</f>
        <v>0</v>
      </c>
      <c r="AM183" s="60" t="n">
        <f aca="false">IF(OR($S183=0,Setup!$B$26=""),0,IF(OR($G183="",$G183="Everyone"),1,IF($G183="Custom",N(AC183),IF(OR($G183=Setup!$B$26,AND(Setup!$C$26&lt;&gt;"",$G183=Setup!$C$26)),1,0))))</f>
        <v>0</v>
      </c>
      <c r="AN183" s="60" t="n">
        <f aca="false">IF(OR($S183=0,Setup!$B$27=""),0,IF(OR($G183="",$G183="Everyone"),1,IF($G183="Custom",N(AD183),IF(OR($G183=Setup!$B$27,AND(Setup!$C$27&lt;&gt;"",$G183=Setup!$C$27)),1,0))))</f>
        <v>0</v>
      </c>
      <c r="AO183" s="60" t="n">
        <f aca="false">IF(SUM(AE183:AN183)=0,1,SUM(AE183:AN183))</f>
        <v>1</v>
      </c>
      <c r="AP183" s="60" t="n">
        <f aca="false">IF(H183="Paid",1,0)</f>
        <v>0</v>
      </c>
      <c r="AQ183" s="60" t="n">
        <f aca="false">IF(AND(S183&gt;0,SUM(AE183:AN183)=0),S183,0)</f>
        <v>0</v>
      </c>
      <c r="AR183" s="60" t="str">
        <f aca="false">IF(AND(N183&lt;&gt;"",TodayDay&lt;&gt;"",N183=TodayDay),COUNTIF($N$6:N183,TodayDay),"")</f>
        <v/>
      </c>
      <c r="AS183" s="60" t="n">
        <f aca="false">IF(B183="",0,IF(COUNTIFS(Settings!$A$5:$A$29,B183,Settings!$B$5:$B$29,"Yes")&gt;0,1,0))</f>
        <v>0</v>
      </c>
      <c r="AT183" s="61" t="n">
        <f aca="false">IF(OR(N183="",TodayDay=""),IF(N183="",S183,0),IF(N183&lt;TodayDay,S183,0))</f>
        <v>0</v>
      </c>
    </row>
    <row r="184" customFormat="false" ht="15" hidden="false" customHeight="false" outlineLevel="0" collapsed="false">
      <c r="A184" s="23"/>
      <c r="B184" s="23"/>
      <c r="C184" s="23"/>
      <c r="D184" s="56"/>
      <c r="E184" s="23"/>
      <c r="F184" s="23"/>
      <c r="G184" s="23"/>
      <c r="H184" s="23"/>
      <c r="I184" s="56"/>
      <c r="J184" s="23"/>
      <c r="K184" s="28"/>
      <c r="L184" s="23"/>
      <c r="M184" s="23"/>
      <c r="N184" s="25" t="str">
        <f aca="false">IF(A184="","",IF(LEFT(A184,3)="Pre",0,IFERROR(VALUE(MID(A184,5,FIND(" ",A184&amp;" ",5)-5)),"")))</f>
        <v/>
      </c>
      <c r="O184" s="57" t="str">
        <f aca="false">IF(N184="","",IF(N184=0,"Before trip",IF(TripStart="","",TripStart+N184-1)))</f>
        <v/>
      </c>
      <c r="P184" s="58" t="str">
        <f aca="false">IF(AND(D184="",I184=""),"",IF(OR(E184="",E184=HomeCcy),1,IFERROR(INDEX(Setup!$J$26:$J$33,MATCH(E184,Setup!$G$26:$G$33,0)),IFERROR(INDEX(Settings!$S$5:$S$64,MATCH(E184,Settings!$R$5:$R$64,0))/HomeINR,1))))</f>
        <v/>
      </c>
      <c r="Q184" s="34" t="str">
        <f aca="false">IF(D184="","",D184*P184)</f>
        <v/>
      </c>
      <c r="R184" s="34" t="str">
        <f aca="false">IF(I184="","",I184*P184)</f>
        <v/>
      </c>
      <c r="S184" s="33" t="n">
        <f aca="false">IF(H184="Cancelled",0,IF(R184&lt;&gt;"",R184,IF(Q184&lt;&gt;"",Q184,0)))</f>
        <v>0</v>
      </c>
      <c r="T184" s="45" t="str">
        <f aca="false">IF(S184=0,"",IF(SUM(AE184:AN184)=0,"⚠ nobody picked",COUNTIF(AE184:AN184,"&gt;0")&amp;" people"))</f>
        <v/>
      </c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60" t="n">
        <f aca="false">IF(OR($S184=0,Setup!$B$18=""),0,IF(OR($G184="",$G184="Everyone"),1,IF($G184="Custom",N(U184),IF(OR($G184=Setup!$B$18,AND(Setup!$C$18&lt;&gt;"",$G184=Setup!$C$18)),1,0))))</f>
        <v>0</v>
      </c>
      <c r="AF184" s="60" t="n">
        <f aca="false">IF(OR($S184=0,Setup!$B$19=""),0,IF(OR($G184="",$G184="Everyone"),1,IF($G184="Custom",N(V184),IF(OR($G184=Setup!$B$19,AND(Setup!$C$19&lt;&gt;"",$G184=Setup!$C$19)),1,0))))</f>
        <v>0</v>
      </c>
      <c r="AG184" s="60" t="n">
        <f aca="false">IF(OR($S184=0,Setup!$B$20=""),0,IF(OR($G184="",$G184="Everyone"),1,IF($G184="Custom",N(W184),IF(OR($G184=Setup!$B$20,AND(Setup!$C$20&lt;&gt;"",$G184=Setup!$C$20)),1,0))))</f>
        <v>0</v>
      </c>
      <c r="AH184" s="60" t="n">
        <f aca="false">IF(OR($S184=0,Setup!$B$21=""),0,IF(OR($G184="",$G184="Everyone"),1,IF($G184="Custom",N(X184),IF(OR($G184=Setup!$B$21,AND(Setup!$C$21&lt;&gt;"",$G184=Setup!$C$21)),1,0))))</f>
        <v>0</v>
      </c>
      <c r="AI184" s="60" t="n">
        <f aca="false">IF(OR($S184=0,Setup!$B$22=""),0,IF(OR($G184="",$G184="Everyone"),1,IF($G184="Custom",N(Y184),IF(OR($G184=Setup!$B$22,AND(Setup!$C$22&lt;&gt;"",$G184=Setup!$C$22)),1,0))))</f>
        <v>0</v>
      </c>
      <c r="AJ184" s="60" t="n">
        <f aca="false">IF(OR($S184=0,Setup!$B$23=""),0,IF(OR($G184="",$G184="Everyone"),1,IF($G184="Custom",N(Z184),IF(OR($G184=Setup!$B$23,AND(Setup!$C$23&lt;&gt;"",$G184=Setup!$C$23)),1,0))))</f>
        <v>0</v>
      </c>
      <c r="AK184" s="60" t="n">
        <f aca="false">IF(OR($S184=0,Setup!$B$24=""),0,IF(OR($G184="",$G184="Everyone"),1,IF($G184="Custom",N(AA184),IF(OR($G184=Setup!$B$24,AND(Setup!$C$24&lt;&gt;"",$G184=Setup!$C$24)),1,0))))</f>
        <v>0</v>
      </c>
      <c r="AL184" s="60" t="n">
        <f aca="false">IF(OR($S184=0,Setup!$B$25=""),0,IF(OR($G184="",$G184="Everyone"),1,IF($G184="Custom",N(AB184),IF(OR($G184=Setup!$B$25,AND(Setup!$C$25&lt;&gt;"",$G184=Setup!$C$25)),1,0))))</f>
        <v>0</v>
      </c>
      <c r="AM184" s="60" t="n">
        <f aca="false">IF(OR($S184=0,Setup!$B$26=""),0,IF(OR($G184="",$G184="Everyone"),1,IF($G184="Custom",N(AC184),IF(OR($G184=Setup!$B$26,AND(Setup!$C$26&lt;&gt;"",$G184=Setup!$C$26)),1,0))))</f>
        <v>0</v>
      </c>
      <c r="AN184" s="60" t="n">
        <f aca="false">IF(OR($S184=0,Setup!$B$27=""),0,IF(OR($G184="",$G184="Everyone"),1,IF($G184="Custom",N(AD184),IF(OR($G184=Setup!$B$27,AND(Setup!$C$27&lt;&gt;"",$G184=Setup!$C$27)),1,0))))</f>
        <v>0</v>
      </c>
      <c r="AO184" s="60" t="n">
        <f aca="false">IF(SUM(AE184:AN184)=0,1,SUM(AE184:AN184))</f>
        <v>1</v>
      </c>
      <c r="AP184" s="60" t="n">
        <f aca="false">IF(H184="Paid",1,0)</f>
        <v>0</v>
      </c>
      <c r="AQ184" s="60" t="n">
        <f aca="false">IF(AND(S184&gt;0,SUM(AE184:AN184)=0),S184,0)</f>
        <v>0</v>
      </c>
      <c r="AR184" s="60" t="str">
        <f aca="false">IF(AND(N184&lt;&gt;"",TodayDay&lt;&gt;"",N184=TodayDay),COUNTIF($N$6:N184,TodayDay),"")</f>
        <v/>
      </c>
      <c r="AS184" s="60" t="n">
        <f aca="false">IF(B184="",0,IF(COUNTIFS(Settings!$A$5:$A$29,B184,Settings!$B$5:$B$29,"Yes")&gt;0,1,0))</f>
        <v>0</v>
      </c>
      <c r="AT184" s="61" t="n">
        <f aca="false">IF(OR(N184="",TodayDay=""),IF(N184="",S184,0),IF(N184&lt;TodayDay,S184,0))</f>
        <v>0</v>
      </c>
    </row>
    <row r="185" customFormat="false" ht="15" hidden="false" customHeight="false" outlineLevel="0" collapsed="false">
      <c r="A185" s="23"/>
      <c r="B185" s="23"/>
      <c r="C185" s="23"/>
      <c r="D185" s="56"/>
      <c r="E185" s="23"/>
      <c r="F185" s="23"/>
      <c r="G185" s="23"/>
      <c r="H185" s="23"/>
      <c r="I185" s="56"/>
      <c r="J185" s="23"/>
      <c r="K185" s="28"/>
      <c r="L185" s="23"/>
      <c r="M185" s="23"/>
      <c r="N185" s="25" t="str">
        <f aca="false">IF(A185="","",IF(LEFT(A185,3)="Pre",0,IFERROR(VALUE(MID(A185,5,FIND(" ",A185&amp;" ",5)-5)),"")))</f>
        <v/>
      </c>
      <c r="O185" s="57" t="str">
        <f aca="false">IF(N185="","",IF(N185=0,"Before trip",IF(TripStart="","",TripStart+N185-1)))</f>
        <v/>
      </c>
      <c r="P185" s="58" t="str">
        <f aca="false">IF(AND(D185="",I185=""),"",IF(OR(E185="",E185=HomeCcy),1,IFERROR(INDEX(Setup!$J$26:$J$33,MATCH(E185,Setup!$G$26:$G$33,0)),IFERROR(INDEX(Settings!$S$5:$S$64,MATCH(E185,Settings!$R$5:$R$64,0))/HomeINR,1))))</f>
        <v/>
      </c>
      <c r="Q185" s="34" t="str">
        <f aca="false">IF(D185="","",D185*P185)</f>
        <v/>
      </c>
      <c r="R185" s="34" t="str">
        <f aca="false">IF(I185="","",I185*P185)</f>
        <v/>
      </c>
      <c r="S185" s="33" t="n">
        <f aca="false">IF(H185="Cancelled",0,IF(R185&lt;&gt;"",R185,IF(Q185&lt;&gt;"",Q185,0)))</f>
        <v>0</v>
      </c>
      <c r="T185" s="45" t="str">
        <f aca="false">IF(S185=0,"",IF(SUM(AE185:AN185)=0,"⚠ nobody picked",COUNTIF(AE185:AN185,"&gt;0")&amp;" people"))</f>
        <v/>
      </c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60" t="n">
        <f aca="false">IF(OR($S185=0,Setup!$B$18=""),0,IF(OR($G185="",$G185="Everyone"),1,IF($G185="Custom",N(U185),IF(OR($G185=Setup!$B$18,AND(Setup!$C$18&lt;&gt;"",$G185=Setup!$C$18)),1,0))))</f>
        <v>0</v>
      </c>
      <c r="AF185" s="60" t="n">
        <f aca="false">IF(OR($S185=0,Setup!$B$19=""),0,IF(OR($G185="",$G185="Everyone"),1,IF($G185="Custom",N(V185),IF(OR($G185=Setup!$B$19,AND(Setup!$C$19&lt;&gt;"",$G185=Setup!$C$19)),1,0))))</f>
        <v>0</v>
      </c>
      <c r="AG185" s="60" t="n">
        <f aca="false">IF(OR($S185=0,Setup!$B$20=""),0,IF(OR($G185="",$G185="Everyone"),1,IF($G185="Custom",N(W185),IF(OR($G185=Setup!$B$20,AND(Setup!$C$20&lt;&gt;"",$G185=Setup!$C$20)),1,0))))</f>
        <v>0</v>
      </c>
      <c r="AH185" s="60" t="n">
        <f aca="false">IF(OR($S185=0,Setup!$B$21=""),0,IF(OR($G185="",$G185="Everyone"),1,IF($G185="Custom",N(X185),IF(OR($G185=Setup!$B$21,AND(Setup!$C$21&lt;&gt;"",$G185=Setup!$C$21)),1,0))))</f>
        <v>0</v>
      </c>
      <c r="AI185" s="60" t="n">
        <f aca="false">IF(OR($S185=0,Setup!$B$22=""),0,IF(OR($G185="",$G185="Everyone"),1,IF($G185="Custom",N(Y185),IF(OR($G185=Setup!$B$22,AND(Setup!$C$22&lt;&gt;"",$G185=Setup!$C$22)),1,0))))</f>
        <v>0</v>
      </c>
      <c r="AJ185" s="60" t="n">
        <f aca="false">IF(OR($S185=0,Setup!$B$23=""),0,IF(OR($G185="",$G185="Everyone"),1,IF($G185="Custom",N(Z185),IF(OR($G185=Setup!$B$23,AND(Setup!$C$23&lt;&gt;"",$G185=Setup!$C$23)),1,0))))</f>
        <v>0</v>
      </c>
      <c r="AK185" s="60" t="n">
        <f aca="false">IF(OR($S185=0,Setup!$B$24=""),0,IF(OR($G185="",$G185="Everyone"),1,IF($G185="Custom",N(AA185),IF(OR($G185=Setup!$B$24,AND(Setup!$C$24&lt;&gt;"",$G185=Setup!$C$24)),1,0))))</f>
        <v>0</v>
      </c>
      <c r="AL185" s="60" t="n">
        <f aca="false">IF(OR($S185=0,Setup!$B$25=""),0,IF(OR($G185="",$G185="Everyone"),1,IF($G185="Custom",N(AB185),IF(OR($G185=Setup!$B$25,AND(Setup!$C$25&lt;&gt;"",$G185=Setup!$C$25)),1,0))))</f>
        <v>0</v>
      </c>
      <c r="AM185" s="60" t="n">
        <f aca="false">IF(OR($S185=0,Setup!$B$26=""),0,IF(OR($G185="",$G185="Everyone"),1,IF($G185="Custom",N(AC185),IF(OR($G185=Setup!$B$26,AND(Setup!$C$26&lt;&gt;"",$G185=Setup!$C$26)),1,0))))</f>
        <v>0</v>
      </c>
      <c r="AN185" s="60" t="n">
        <f aca="false">IF(OR($S185=0,Setup!$B$27=""),0,IF(OR($G185="",$G185="Everyone"),1,IF($G185="Custom",N(AD185),IF(OR($G185=Setup!$B$27,AND(Setup!$C$27&lt;&gt;"",$G185=Setup!$C$27)),1,0))))</f>
        <v>0</v>
      </c>
      <c r="AO185" s="60" t="n">
        <f aca="false">IF(SUM(AE185:AN185)=0,1,SUM(AE185:AN185))</f>
        <v>1</v>
      </c>
      <c r="AP185" s="60" t="n">
        <f aca="false">IF(H185="Paid",1,0)</f>
        <v>0</v>
      </c>
      <c r="AQ185" s="60" t="n">
        <f aca="false">IF(AND(S185&gt;0,SUM(AE185:AN185)=0),S185,0)</f>
        <v>0</v>
      </c>
      <c r="AR185" s="60" t="str">
        <f aca="false">IF(AND(N185&lt;&gt;"",TodayDay&lt;&gt;"",N185=TodayDay),COUNTIF($N$6:N185,TodayDay),"")</f>
        <v/>
      </c>
      <c r="AS185" s="60" t="n">
        <f aca="false">IF(B185="",0,IF(COUNTIFS(Settings!$A$5:$A$29,B185,Settings!$B$5:$B$29,"Yes")&gt;0,1,0))</f>
        <v>0</v>
      </c>
      <c r="AT185" s="61" t="n">
        <f aca="false">IF(OR(N185="",TodayDay=""),IF(N185="",S185,0),IF(N185&lt;TodayDay,S185,0))</f>
        <v>0</v>
      </c>
    </row>
    <row r="186" customFormat="false" ht="15" hidden="false" customHeight="false" outlineLevel="0" collapsed="false">
      <c r="A186" s="23"/>
      <c r="B186" s="23"/>
      <c r="C186" s="23"/>
      <c r="D186" s="56"/>
      <c r="E186" s="23"/>
      <c r="F186" s="23"/>
      <c r="G186" s="23"/>
      <c r="H186" s="23"/>
      <c r="I186" s="56"/>
      <c r="J186" s="23"/>
      <c r="K186" s="28"/>
      <c r="L186" s="23"/>
      <c r="M186" s="23"/>
      <c r="N186" s="25" t="str">
        <f aca="false">IF(A186="","",IF(LEFT(A186,3)="Pre",0,IFERROR(VALUE(MID(A186,5,FIND(" ",A186&amp;" ",5)-5)),"")))</f>
        <v/>
      </c>
      <c r="O186" s="57" t="str">
        <f aca="false">IF(N186="","",IF(N186=0,"Before trip",IF(TripStart="","",TripStart+N186-1)))</f>
        <v/>
      </c>
      <c r="P186" s="58" t="str">
        <f aca="false">IF(AND(D186="",I186=""),"",IF(OR(E186="",E186=HomeCcy),1,IFERROR(INDEX(Setup!$J$26:$J$33,MATCH(E186,Setup!$G$26:$G$33,0)),IFERROR(INDEX(Settings!$S$5:$S$64,MATCH(E186,Settings!$R$5:$R$64,0))/HomeINR,1))))</f>
        <v/>
      </c>
      <c r="Q186" s="34" t="str">
        <f aca="false">IF(D186="","",D186*P186)</f>
        <v/>
      </c>
      <c r="R186" s="34" t="str">
        <f aca="false">IF(I186="","",I186*P186)</f>
        <v/>
      </c>
      <c r="S186" s="33" t="n">
        <f aca="false">IF(H186="Cancelled",0,IF(R186&lt;&gt;"",R186,IF(Q186&lt;&gt;"",Q186,0)))</f>
        <v>0</v>
      </c>
      <c r="T186" s="45" t="str">
        <f aca="false">IF(S186=0,"",IF(SUM(AE186:AN186)=0,"⚠ nobody picked",COUNTIF(AE186:AN186,"&gt;0")&amp;" people"))</f>
        <v/>
      </c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60" t="n">
        <f aca="false">IF(OR($S186=0,Setup!$B$18=""),0,IF(OR($G186="",$G186="Everyone"),1,IF($G186="Custom",N(U186),IF(OR($G186=Setup!$B$18,AND(Setup!$C$18&lt;&gt;"",$G186=Setup!$C$18)),1,0))))</f>
        <v>0</v>
      </c>
      <c r="AF186" s="60" t="n">
        <f aca="false">IF(OR($S186=0,Setup!$B$19=""),0,IF(OR($G186="",$G186="Everyone"),1,IF($G186="Custom",N(V186),IF(OR($G186=Setup!$B$19,AND(Setup!$C$19&lt;&gt;"",$G186=Setup!$C$19)),1,0))))</f>
        <v>0</v>
      </c>
      <c r="AG186" s="60" t="n">
        <f aca="false">IF(OR($S186=0,Setup!$B$20=""),0,IF(OR($G186="",$G186="Everyone"),1,IF($G186="Custom",N(W186),IF(OR($G186=Setup!$B$20,AND(Setup!$C$20&lt;&gt;"",$G186=Setup!$C$20)),1,0))))</f>
        <v>0</v>
      </c>
      <c r="AH186" s="60" t="n">
        <f aca="false">IF(OR($S186=0,Setup!$B$21=""),0,IF(OR($G186="",$G186="Everyone"),1,IF($G186="Custom",N(X186),IF(OR($G186=Setup!$B$21,AND(Setup!$C$21&lt;&gt;"",$G186=Setup!$C$21)),1,0))))</f>
        <v>0</v>
      </c>
      <c r="AI186" s="60" t="n">
        <f aca="false">IF(OR($S186=0,Setup!$B$22=""),0,IF(OR($G186="",$G186="Everyone"),1,IF($G186="Custom",N(Y186),IF(OR($G186=Setup!$B$22,AND(Setup!$C$22&lt;&gt;"",$G186=Setup!$C$22)),1,0))))</f>
        <v>0</v>
      </c>
      <c r="AJ186" s="60" t="n">
        <f aca="false">IF(OR($S186=0,Setup!$B$23=""),0,IF(OR($G186="",$G186="Everyone"),1,IF($G186="Custom",N(Z186),IF(OR($G186=Setup!$B$23,AND(Setup!$C$23&lt;&gt;"",$G186=Setup!$C$23)),1,0))))</f>
        <v>0</v>
      </c>
      <c r="AK186" s="60" t="n">
        <f aca="false">IF(OR($S186=0,Setup!$B$24=""),0,IF(OR($G186="",$G186="Everyone"),1,IF($G186="Custom",N(AA186),IF(OR($G186=Setup!$B$24,AND(Setup!$C$24&lt;&gt;"",$G186=Setup!$C$24)),1,0))))</f>
        <v>0</v>
      </c>
      <c r="AL186" s="60" t="n">
        <f aca="false">IF(OR($S186=0,Setup!$B$25=""),0,IF(OR($G186="",$G186="Everyone"),1,IF($G186="Custom",N(AB186),IF(OR($G186=Setup!$B$25,AND(Setup!$C$25&lt;&gt;"",$G186=Setup!$C$25)),1,0))))</f>
        <v>0</v>
      </c>
      <c r="AM186" s="60" t="n">
        <f aca="false">IF(OR($S186=0,Setup!$B$26=""),0,IF(OR($G186="",$G186="Everyone"),1,IF($G186="Custom",N(AC186),IF(OR($G186=Setup!$B$26,AND(Setup!$C$26&lt;&gt;"",$G186=Setup!$C$26)),1,0))))</f>
        <v>0</v>
      </c>
      <c r="AN186" s="60" t="n">
        <f aca="false">IF(OR($S186=0,Setup!$B$27=""),0,IF(OR($G186="",$G186="Everyone"),1,IF($G186="Custom",N(AD186),IF(OR($G186=Setup!$B$27,AND(Setup!$C$27&lt;&gt;"",$G186=Setup!$C$27)),1,0))))</f>
        <v>0</v>
      </c>
      <c r="AO186" s="60" t="n">
        <f aca="false">IF(SUM(AE186:AN186)=0,1,SUM(AE186:AN186))</f>
        <v>1</v>
      </c>
      <c r="AP186" s="60" t="n">
        <f aca="false">IF(H186="Paid",1,0)</f>
        <v>0</v>
      </c>
      <c r="AQ186" s="60" t="n">
        <f aca="false">IF(AND(S186&gt;0,SUM(AE186:AN186)=0),S186,0)</f>
        <v>0</v>
      </c>
      <c r="AR186" s="60" t="str">
        <f aca="false">IF(AND(N186&lt;&gt;"",TodayDay&lt;&gt;"",N186=TodayDay),COUNTIF($N$6:N186,TodayDay),"")</f>
        <v/>
      </c>
      <c r="AS186" s="60" t="n">
        <f aca="false">IF(B186="",0,IF(COUNTIFS(Settings!$A$5:$A$29,B186,Settings!$B$5:$B$29,"Yes")&gt;0,1,0))</f>
        <v>0</v>
      </c>
      <c r="AT186" s="61" t="n">
        <f aca="false">IF(OR(N186="",TodayDay=""),IF(N186="",S186,0),IF(N186&lt;TodayDay,S186,0))</f>
        <v>0</v>
      </c>
    </row>
    <row r="187" customFormat="false" ht="15" hidden="false" customHeight="false" outlineLevel="0" collapsed="false">
      <c r="A187" s="23"/>
      <c r="B187" s="23"/>
      <c r="C187" s="23"/>
      <c r="D187" s="56"/>
      <c r="E187" s="23"/>
      <c r="F187" s="23"/>
      <c r="G187" s="23"/>
      <c r="H187" s="23"/>
      <c r="I187" s="56"/>
      <c r="J187" s="23"/>
      <c r="K187" s="28"/>
      <c r="L187" s="23"/>
      <c r="M187" s="23"/>
      <c r="N187" s="25" t="str">
        <f aca="false">IF(A187="","",IF(LEFT(A187,3)="Pre",0,IFERROR(VALUE(MID(A187,5,FIND(" ",A187&amp;" ",5)-5)),"")))</f>
        <v/>
      </c>
      <c r="O187" s="57" t="str">
        <f aca="false">IF(N187="","",IF(N187=0,"Before trip",IF(TripStart="","",TripStart+N187-1)))</f>
        <v/>
      </c>
      <c r="P187" s="58" t="str">
        <f aca="false">IF(AND(D187="",I187=""),"",IF(OR(E187="",E187=HomeCcy),1,IFERROR(INDEX(Setup!$J$26:$J$33,MATCH(E187,Setup!$G$26:$G$33,0)),IFERROR(INDEX(Settings!$S$5:$S$64,MATCH(E187,Settings!$R$5:$R$64,0))/HomeINR,1))))</f>
        <v/>
      </c>
      <c r="Q187" s="34" t="str">
        <f aca="false">IF(D187="","",D187*P187)</f>
        <v/>
      </c>
      <c r="R187" s="34" t="str">
        <f aca="false">IF(I187="","",I187*P187)</f>
        <v/>
      </c>
      <c r="S187" s="33" t="n">
        <f aca="false">IF(H187="Cancelled",0,IF(R187&lt;&gt;"",R187,IF(Q187&lt;&gt;"",Q187,0)))</f>
        <v>0</v>
      </c>
      <c r="T187" s="45" t="str">
        <f aca="false">IF(S187=0,"",IF(SUM(AE187:AN187)=0,"⚠ nobody picked",COUNTIF(AE187:AN187,"&gt;0")&amp;" people"))</f>
        <v/>
      </c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60" t="n">
        <f aca="false">IF(OR($S187=0,Setup!$B$18=""),0,IF(OR($G187="",$G187="Everyone"),1,IF($G187="Custom",N(U187),IF(OR($G187=Setup!$B$18,AND(Setup!$C$18&lt;&gt;"",$G187=Setup!$C$18)),1,0))))</f>
        <v>0</v>
      </c>
      <c r="AF187" s="60" t="n">
        <f aca="false">IF(OR($S187=0,Setup!$B$19=""),0,IF(OR($G187="",$G187="Everyone"),1,IF($G187="Custom",N(V187),IF(OR($G187=Setup!$B$19,AND(Setup!$C$19&lt;&gt;"",$G187=Setup!$C$19)),1,0))))</f>
        <v>0</v>
      </c>
      <c r="AG187" s="60" t="n">
        <f aca="false">IF(OR($S187=0,Setup!$B$20=""),0,IF(OR($G187="",$G187="Everyone"),1,IF($G187="Custom",N(W187),IF(OR($G187=Setup!$B$20,AND(Setup!$C$20&lt;&gt;"",$G187=Setup!$C$20)),1,0))))</f>
        <v>0</v>
      </c>
      <c r="AH187" s="60" t="n">
        <f aca="false">IF(OR($S187=0,Setup!$B$21=""),0,IF(OR($G187="",$G187="Everyone"),1,IF($G187="Custom",N(X187),IF(OR($G187=Setup!$B$21,AND(Setup!$C$21&lt;&gt;"",$G187=Setup!$C$21)),1,0))))</f>
        <v>0</v>
      </c>
      <c r="AI187" s="60" t="n">
        <f aca="false">IF(OR($S187=0,Setup!$B$22=""),0,IF(OR($G187="",$G187="Everyone"),1,IF($G187="Custom",N(Y187),IF(OR($G187=Setup!$B$22,AND(Setup!$C$22&lt;&gt;"",$G187=Setup!$C$22)),1,0))))</f>
        <v>0</v>
      </c>
      <c r="AJ187" s="60" t="n">
        <f aca="false">IF(OR($S187=0,Setup!$B$23=""),0,IF(OR($G187="",$G187="Everyone"),1,IF($G187="Custom",N(Z187),IF(OR($G187=Setup!$B$23,AND(Setup!$C$23&lt;&gt;"",$G187=Setup!$C$23)),1,0))))</f>
        <v>0</v>
      </c>
      <c r="AK187" s="60" t="n">
        <f aca="false">IF(OR($S187=0,Setup!$B$24=""),0,IF(OR($G187="",$G187="Everyone"),1,IF($G187="Custom",N(AA187),IF(OR($G187=Setup!$B$24,AND(Setup!$C$24&lt;&gt;"",$G187=Setup!$C$24)),1,0))))</f>
        <v>0</v>
      </c>
      <c r="AL187" s="60" t="n">
        <f aca="false">IF(OR($S187=0,Setup!$B$25=""),0,IF(OR($G187="",$G187="Everyone"),1,IF($G187="Custom",N(AB187),IF(OR($G187=Setup!$B$25,AND(Setup!$C$25&lt;&gt;"",$G187=Setup!$C$25)),1,0))))</f>
        <v>0</v>
      </c>
      <c r="AM187" s="60" t="n">
        <f aca="false">IF(OR($S187=0,Setup!$B$26=""),0,IF(OR($G187="",$G187="Everyone"),1,IF($G187="Custom",N(AC187),IF(OR($G187=Setup!$B$26,AND(Setup!$C$26&lt;&gt;"",$G187=Setup!$C$26)),1,0))))</f>
        <v>0</v>
      </c>
      <c r="AN187" s="60" t="n">
        <f aca="false">IF(OR($S187=0,Setup!$B$27=""),0,IF(OR($G187="",$G187="Everyone"),1,IF($G187="Custom",N(AD187),IF(OR($G187=Setup!$B$27,AND(Setup!$C$27&lt;&gt;"",$G187=Setup!$C$27)),1,0))))</f>
        <v>0</v>
      </c>
      <c r="AO187" s="60" t="n">
        <f aca="false">IF(SUM(AE187:AN187)=0,1,SUM(AE187:AN187))</f>
        <v>1</v>
      </c>
      <c r="AP187" s="60" t="n">
        <f aca="false">IF(H187="Paid",1,0)</f>
        <v>0</v>
      </c>
      <c r="AQ187" s="60" t="n">
        <f aca="false">IF(AND(S187&gt;0,SUM(AE187:AN187)=0),S187,0)</f>
        <v>0</v>
      </c>
      <c r="AR187" s="60" t="str">
        <f aca="false">IF(AND(N187&lt;&gt;"",TodayDay&lt;&gt;"",N187=TodayDay),COUNTIF($N$6:N187,TodayDay),"")</f>
        <v/>
      </c>
      <c r="AS187" s="60" t="n">
        <f aca="false">IF(B187="",0,IF(COUNTIFS(Settings!$A$5:$A$29,B187,Settings!$B$5:$B$29,"Yes")&gt;0,1,0))</f>
        <v>0</v>
      </c>
      <c r="AT187" s="61" t="n">
        <f aca="false">IF(OR(N187="",TodayDay=""),IF(N187="",S187,0),IF(N187&lt;TodayDay,S187,0))</f>
        <v>0</v>
      </c>
    </row>
    <row r="188" customFormat="false" ht="15" hidden="false" customHeight="false" outlineLevel="0" collapsed="false">
      <c r="A188" s="23"/>
      <c r="B188" s="23"/>
      <c r="C188" s="23"/>
      <c r="D188" s="56"/>
      <c r="E188" s="23"/>
      <c r="F188" s="23"/>
      <c r="G188" s="23"/>
      <c r="H188" s="23"/>
      <c r="I188" s="56"/>
      <c r="J188" s="23"/>
      <c r="K188" s="28"/>
      <c r="L188" s="23"/>
      <c r="M188" s="23"/>
      <c r="N188" s="25" t="str">
        <f aca="false">IF(A188="","",IF(LEFT(A188,3)="Pre",0,IFERROR(VALUE(MID(A188,5,FIND(" ",A188&amp;" ",5)-5)),"")))</f>
        <v/>
      </c>
      <c r="O188" s="57" t="str">
        <f aca="false">IF(N188="","",IF(N188=0,"Before trip",IF(TripStart="","",TripStart+N188-1)))</f>
        <v/>
      </c>
      <c r="P188" s="58" t="str">
        <f aca="false">IF(AND(D188="",I188=""),"",IF(OR(E188="",E188=HomeCcy),1,IFERROR(INDEX(Setup!$J$26:$J$33,MATCH(E188,Setup!$G$26:$G$33,0)),IFERROR(INDEX(Settings!$S$5:$S$64,MATCH(E188,Settings!$R$5:$R$64,0))/HomeINR,1))))</f>
        <v/>
      </c>
      <c r="Q188" s="34" t="str">
        <f aca="false">IF(D188="","",D188*P188)</f>
        <v/>
      </c>
      <c r="R188" s="34" t="str">
        <f aca="false">IF(I188="","",I188*P188)</f>
        <v/>
      </c>
      <c r="S188" s="33" t="n">
        <f aca="false">IF(H188="Cancelled",0,IF(R188&lt;&gt;"",R188,IF(Q188&lt;&gt;"",Q188,0)))</f>
        <v>0</v>
      </c>
      <c r="T188" s="45" t="str">
        <f aca="false">IF(S188=0,"",IF(SUM(AE188:AN188)=0,"⚠ nobody picked",COUNTIF(AE188:AN188,"&gt;0")&amp;" people"))</f>
        <v/>
      </c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60" t="n">
        <f aca="false">IF(OR($S188=0,Setup!$B$18=""),0,IF(OR($G188="",$G188="Everyone"),1,IF($G188="Custom",N(U188),IF(OR($G188=Setup!$B$18,AND(Setup!$C$18&lt;&gt;"",$G188=Setup!$C$18)),1,0))))</f>
        <v>0</v>
      </c>
      <c r="AF188" s="60" t="n">
        <f aca="false">IF(OR($S188=0,Setup!$B$19=""),0,IF(OR($G188="",$G188="Everyone"),1,IF($G188="Custom",N(V188),IF(OR($G188=Setup!$B$19,AND(Setup!$C$19&lt;&gt;"",$G188=Setup!$C$19)),1,0))))</f>
        <v>0</v>
      </c>
      <c r="AG188" s="60" t="n">
        <f aca="false">IF(OR($S188=0,Setup!$B$20=""),0,IF(OR($G188="",$G188="Everyone"),1,IF($G188="Custom",N(W188),IF(OR($G188=Setup!$B$20,AND(Setup!$C$20&lt;&gt;"",$G188=Setup!$C$20)),1,0))))</f>
        <v>0</v>
      </c>
      <c r="AH188" s="60" t="n">
        <f aca="false">IF(OR($S188=0,Setup!$B$21=""),0,IF(OR($G188="",$G188="Everyone"),1,IF($G188="Custom",N(X188),IF(OR($G188=Setup!$B$21,AND(Setup!$C$21&lt;&gt;"",$G188=Setup!$C$21)),1,0))))</f>
        <v>0</v>
      </c>
      <c r="AI188" s="60" t="n">
        <f aca="false">IF(OR($S188=0,Setup!$B$22=""),0,IF(OR($G188="",$G188="Everyone"),1,IF($G188="Custom",N(Y188),IF(OR($G188=Setup!$B$22,AND(Setup!$C$22&lt;&gt;"",$G188=Setup!$C$22)),1,0))))</f>
        <v>0</v>
      </c>
      <c r="AJ188" s="60" t="n">
        <f aca="false">IF(OR($S188=0,Setup!$B$23=""),0,IF(OR($G188="",$G188="Everyone"),1,IF($G188="Custom",N(Z188),IF(OR($G188=Setup!$B$23,AND(Setup!$C$23&lt;&gt;"",$G188=Setup!$C$23)),1,0))))</f>
        <v>0</v>
      </c>
      <c r="AK188" s="60" t="n">
        <f aca="false">IF(OR($S188=0,Setup!$B$24=""),0,IF(OR($G188="",$G188="Everyone"),1,IF($G188="Custom",N(AA188),IF(OR($G188=Setup!$B$24,AND(Setup!$C$24&lt;&gt;"",$G188=Setup!$C$24)),1,0))))</f>
        <v>0</v>
      </c>
      <c r="AL188" s="60" t="n">
        <f aca="false">IF(OR($S188=0,Setup!$B$25=""),0,IF(OR($G188="",$G188="Everyone"),1,IF($G188="Custom",N(AB188),IF(OR($G188=Setup!$B$25,AND(Setup!$C$25&lt;&gt;"",$G188=Setup!$C$25)),1,0))))</f>
        <v>0</v>
      </c>
      <c r="AM188" s="60" t="n">
        <f aca="false">IF(OR($S188=0,Setup!$B$26=""),0,IF(OR($G188="",$G188="Everyone"),1,IF($G188="Custom",N(AC188),IF(OR($G188=Setup!$B$26,AND(Setup!$C$26&lt;&gt;"",$G188=Setup!$C$26)),1,0))))</f>
        <v>0</v>
      </c>
      <c r="AN188" s="60" t="n">
        <f aca="false">IF(OR($S188=0,Setup!$B$27=""),0,IF(OR($G188="",$G188="Everyone"),1,IF($G188="Custom",N(AD188),IF(OR($G188=Setup!$B$27,AND(Setup!$C$27&lt;&gt;"",$G188=Setup!$C$27)),1,0))))</f>
        <v>0</v>
      </c>
      <c r="AO188" s="60" t="n">
        <f aca="false">IF(SUM(AE188:AN188)=0,1,SUM(AE188:AN188))</f>
        <v>1</v>
      </c>
      <c r="AP188" s="60" t="n">
        <f aca="false">IF(H188="Paid",1,0)</f>
        <v>0</v>
      </c>
      <c r="AQ188" s="60" t="n">
        <f aca="false">IF(AND(S188&gt;0,SUM(AE188:AN188)=0),S188,0)</f>
        <v>0</v>
      </c>
      <c r="AR188" s="60" t="str">
        <f aca="false">IF(AND(N188&lt;&gt;"",TodayDay&lt;&gt;"",N188=TodayDay),COUNTIF($N$6:N188,TodayDay),"")</f>
        <v/>
      </c>
      <c r="AS188" s="60" t="n">
        <f aca="false">IF(B188="",0,IF(COUNTIFS(Settings!$A$5:$A$29,B188,Settings!$B$5:$B$29,"Yes")&gt;0,1,0))</f>
        <v>0</v>
      </c>
      <c r="AT188" s="61" t="n">
        <f aca="false">IF(OR(N188="",TodayDay=""),IF(N188="",S188,0),IF(N188&lt;TodayDay,S188,0))</f>
        <v>0</v>
      </c>
    </row>
    <row r="189" customFormat="false" ht="15" hidden="false" customHeight="false" outlineLevel="0" collapsed="false">
      <c r="A189" s="23"/>
      <c r="B189" s="23"/>
      <c r="C189" s="23"/>
      <c r="D189" s="56"/>
      <c r="E189" s="23"/>
      <c r="F189" s="23"/>
      <c r="G189" s="23"/>
      <c r="H189" s="23"/>
      <c r="I189" s="56"/>
      <c r="J189" s="23"/>
      <c r="K189" s="28"/>
      <c r="L189" s="23"/>
      <c r="M189" s="23"/>
      <c r="N189" s="25" t="str">
        <f aca="false">IF(A189="","",IF(LEFT(A189,3)="Pre",0,IFERROR(VALUE(MID(A189,5,FIND(" ",A189&amp;" ",5)-5)),"")))</f>
        <v/>
      </c>
      <c r="O189" s="57" t="str">
        <f aca="false">IF(N189="","",IF(N189=0,"Before trip",IF(TripStart="","",TripStart+N189-1)))</f>
        <v/>
      </c>
      <c r="P189" s="58" t="str">
        <f aca="false">IF(AND(D189="",I189=""),"",IF(OR(E189="",E189=HomeCcy),1,IFERROR(INDEX(Setup!$J$26:$J$33,MATCH(E189,Setup!$G$26:$G$33,0)),IFERROR(INDEX(Settings!$S$5:$S$64,MATCH(E189,Settings!$R$5:$R$64,0))/HomeINR,1))))</f>
        <v/>
      </c>
      <c r="Q189" s="34" t="str">
        <f aca="false">IF(D189="","",D189*P189)</f>
        <v/>
      </c>
      <c r="R189" s="34" t="str">
        <f aca="false">IF(I189="","",I189*P189)</f>
        <v/>
      </c>
      <c r="S189" s="33" t="n">
        <f aca="false">IF(H189="Cancelled",0,IF(R189&lt;&gt;"",R189,IF(Q189&lt;&gt;"",Q189,0)))</f>
        <v>0</v>
      </c>
      <c r="T189" s="45" t="str">
        <f aca="false">IF(S189=0,"",IF(SUM(AE189:AN189)=0,"⚠ nobody picked",COUNTIF(AE189:AN189,"&gt;0")&amp;" people"))</f>
        <v/>
      </c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60" t="n">
        <f aca="false">IF(OR($S189=0,Setup!$B$18=""),0,IF(OR($G189="",$G189="Everyone"),1,IF($G189="Custom",N(U189),IF(OR($G189=Setup!$B$18,AND(Setup!$C$18&lt;&gt;"",$G189=Setup!$C$18)),1,0))))</f>
        <v>0</v>
      </c>
      <c r="AF189" s="60" t="n">
        <f aca="false">IF(OR($S189=0,Setup!$B$19=""),0,IF(OR($G189="",$G189="Everyone"),1,IF($G189="Custom",N(V189),IF(OR($G189=Setup!$B$19,AND(Setup!$C$19&lt;&gt;"",$G189=Setup!$C$19)),1,0))))</f>
        <v>0</v>
      </c>
      <c r="AG189" s="60" t="n">
        <f aca="false">IF(OR($S189=0,Setup!$B$20=""),0,IF(OR($G189="",$G189="Everyone"),1,IF($G189="Custom",N(W189),IF(OR($G189=Setup!$B$20,AND(Setup!$C$20&lt;&gt;"",$G189=Setup!$C$20)),1,0))))</f>
        <v>0</v>
      </c>
      <c r="AH189" s="60" t="n">
        <f aca="false">IF(OR($S189=0,Setup!$B$21=""),0,IF(OR($G189="",$G189="Everyone"),1,IF($G189="Custom",N(X189),IF(OR($G189=Setup!$B$21,AND(Setup!$C$21&lt;&gt;"",$G189=Setup!$C$21)),1,0))))</f>
        <v>0</v>
      </c>
      <c r="AI189" s="60" t="n">
        <f aca="false">IF(OR($S189=0,Setup!$B$22=""),0,IF(OR($G189="",$G189="Everyone"),1,IF($G189="Custom",N(Y189),IF(OR($G189=Setup!$B$22,AND(Setup!$C$22&lt;&gt;"",$G189=Setup!$C$22)),1,0))))</f>
        <v>0</v>
      </c>
      <c r="AJ189" s="60" t="n">
        <f aca="false">IF(OR($S189=0,Setup!$B$23=""),0,IF(OR($G189="",$G189="Everyone"),1,IF($G189="Custom",N(Z189),IF(OR($G189=Setup!$B$23,AND(Setup!$C$23&lt;&gt;"",$G189=Setup!$C$23)),1,0))))</f>
        <v>0</v>
      </c>
      <c r="AK189" s="60" t="n">
        <f aca="false">IF(OR($S189=0,Setup!$B$24=""),0,IF(OR($G189="",$G189="Everyone"),1,IF($G189="Custom",N(AA189),IF(OR($G189=Setup!$B$24,AND(Setup!$C$24&lt;&gt;"",$G189=Setup!$C$24)),1,0))))</f>
        <v>0</v>
      </c>
      <c r="AL189" s="60" t="n">
        <f aca="false">IF(OR($S189=0,Setup!$B$25=""),0,IF(OR($G189="",$G189="Everyone"),1,IF($G189="Custom",N(AB189),IF(OR($G189=Setup!$B$25,AND(Setup!$C$25&lt;&gt;"",$G189=Setup!$C$25)),1,0))))</f>
        <v>0</v>
      </c>
      <c r="AM189" s="60" t="n">
        <f aca="false">IF(OR($S189=0,Setup!$B$26=""),0,IF(OR($G189="",$G189="Everyone"),1,IF($G189="Custom",N(AC189),IF(OR($G189=Setup!$B$26,AND(Setup!$C$26&lt;&gt;"",$G189=Setup!$C$26)),1,0))))</f>
        <v>0</v>
      </c>
      <c r="AN189" s="60" t="n">
        <f aca="false">IF(OR($S189=0,Setup!$B$27=""),0,IF(OR($G189="",$G189="Everyone"),1,IF($G189="Custom",N(AD189),IF(OR($G189=Setup!$B$27,AND(Setup!$C$27&lt;&gt;"",$G189=Setup!$C$27)),1,0))))</f>
        <v>0</v>
      </c>
      <c r="AO189" s="60" t="n">
        <f aca="false">IF(SUM(AE189:AN189)=0,1,SUM(AE189:AN189))</f>
        <v>1</v>
      </c>
      <c r="AP189" s="60" t="n">
        <f aca="false">IF(H189="Paid",1,0)</f>
        <v>0</v>
      </c>
      <c r="AQ189" s="60" t="n">
        <f aca="false">IF(AND(S189&gt;0,SUM(AE189:AN189)=0),S189,0)</f>
        <v>0</v>
      </c>
      <c r="AR189" s="60" t="str">
        <f aca="false">IF(AND(N189&lt;&gt;"",TodayDay&lt;&gt;"",N189=TodayDay),COUNTIF($N$6:N189,TodayDay),"")</f>
        <v/>
      </c>
      <c r="AS189" s="60" t="n">
        <f aca="false">IF(B189="",0,IF(COUNTIFS(Settings!$A$5:$A$29,B189,Settings!$B$5:$B$29,"Yes")&gt;0,1,0))</f>
        <v>0</v>
      </c>
      <c r="AT189" s="61" t="n">
        <f aca="false">IF(OR(N189="",TodayDay=""),IF(N189="",S189,0),IF(N189&lt;TodayDay,S189,0))</f>
        <v>0</v>
      </c>
    </row>
    <row r="190" customFormat="false" ht="15" hidden="false" customHeight="false" outlineLevel="0" collapsed="false">
      <c r="A190" s="23"/>
      <c r="B190" s="23"/>
      <c r="C190" s="23"/>
      <c r="D190" s="56"/>
      <c r="E190" s="23"/>
      <c r="F190" s="23"/>
      <c r="G190" s="23"/>
      <c r="H190" s="23"/>
      <c r="I190" s="56"/>
      <c r="J190" s="23"/>
      <c r="K190" s="28"/>
      <c r="L190" s="23"/>
      <c r="M190" s="23"/>
      <c r="N190" s="25" t="str">
        <f aca="false">IF(A190="","",IF(LEFT(A190,3)="Pre",0,IFERROR(VALUE(MID(A190,5,FIND(" ",A190&amp;" ",5)-5)),"")))</f>
        <v/>
      </c>
      <c r="O190" s="57" t="str">
        <f aca="false">IF(N190="","",IF(N190=0,"Before trip",IF(TripStart="","",TripStart+N190-1)))</f>
        <v/>
      </c>
      <c r="P190" s="58" t="str">
        <f aca="false">IF(AND(D190="",I190=""),"",IF(OR(E190="",E190=HomeCcy),1,IFERROR(INDEX(Setup!$J$26:$J$33,MATCH(E190,Setup!$G$26:$G$33,0)),IFERROR(INDEX(Settings!$S$5:$S$64,MATCH(E190,Settings!$R$5:$R$64,0))/HomeINR,1))))</f>
        <v/>
      </c>
      <c r="Q190" s="34" t="str">
        <f aca="false">IF(D190="","",D190*P190)</f>
        <v/>
      </c>
      <c r="R190" s="34" t="str">
        <f aca="false">IF(I190="","",I190*P190)</f>
        <v/>
      </c>
      <c r="S190" s="33" t="n">
        <f aca="false">IF(H190="Cancelled",0,IF(R190&lt;&gt;"",R190,IF(Q190&lt;&gt;"",Q190,0)))</f>
        <v>0</v>
      </c>
      <c r="T190" s="45" t="str">
        <f aca="false">IF(S190=0,"",IF(SUM(AE190:AN190)=0,"⚠ nobody picked",COUNTIF(AE190:AN190,"&gt;0")&amp;" people"))</f>
        <v/>
      </c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60" t="n">
        <f aca="false">IF(OR($S190=0,Setup!$B$18=""),0,IF(OR($G190="",$G190="Everyone"),1,IF($G190="Custom",N(U190),IF(OR($G190=Setup!$B$18,AND(Setup!$C$18&lt;&gt;"",$G190=Setup!$C$18)),1,0))))</f>
        <v>0</v>
      </c>
      <c r="AF190" s="60" t="n">
        <f aca="false">IF(OR($S190=0,Setup!$B$19=""),0,IF(OR($G190="",$G190="Everyone"),1,IF($G190="Custom",N(V190),IF(OR($G190=Setup!$B$19,AND(Setup!$C$19&lt;&gt;"",$G190=Setup!$C$19)),1,0))))</f>
        <v>0</v>
      </c>
      <c r="AG190" s="60" t="n">
        <f aca="false">IF(OR($S190=0,Setup!$B$20=""),0,IF(OR($G190="",$G190="Everyone"),1,IF($G190="Custom",N(W190),IF(OR($G190=Setup!$B$20,AND(Setup!$C$20&lt;&gt;"",$G190=Setup!$C$20)),1,0))))</f>
        <v>0</v>
      </c>
      <c r="AH190" s="60" t="n">
        <f aca="false">IF(OR($S190=0,Setup!$B$21=""),0,IF(OR($G190="",$G190="Everyone"),1,IF($G190="Custom",N(X190),IF(OR($G190=Setup!$B$21,AND(Setup!$C$21&lt;&gt;"",$G190=Setup!$C$21)),1,0))))</f>
        <v>0</v>
      </c>
      <c r="AI190" s="60" t="n">
        <f aca="false">IF(OR($S190=0,Setup!$B$22=""),0,IF(OR($G190="",$G190="Everyone"),1,IF($G190="Custom",N(Y190),IF(OR($G190=Setup!$B$22,AND(Setup!$C$22&lt;&gt;"",$G190=Setup!$C$22)),1,0))))</f>
        <v>0</v>
      </c>
      <c r="AJ190" s="60" t="n">
        <f aca="false">IF(OR($S190=0,Setup!$B$23=""),0,IF(OR($G190="",$G190="Everyone"),1,IF($G190="Custom",N(Z190),IF(OR($G190=Setup!$B$23,AND(Setup!$C$23&lt;&gt;"",$G190=Setup!$C$23)),1,0))))</f>
        <v>0</v>
      </c>
      <c r="AK190" s="60" t="n">
        <f aca="false">IF(OR($S190=0,Setup!$B$24=""),0,IF(OR($G190="",$G190="Everyone"),1,IF($G190="Custom",N(AA190),IF(OR($G190=Setup!$B$24,AND(Setup!$C$24&lt;&gt;"",$G190=Setup!$C$24)),1,0))))</f>
        <v>0</v>
      </c>
      <c r="AL190" s="60" t="n">
        <f aca="false">IF(OR($S190=0,Setup!$B$25=""),0,IF(OR($G190="",$G190="Everyone"),1,IF($G190="Custom",N(AB190),IF(OR($G190=Setup!$B$25,AND(Setup!$C$25&lt;&gt;"",$G190=Setup!$C$25)),1,0))))</f>
        <v>0</v>
      </c>
      <c r="AM190" s="60" t="n">
        <f aca="false">IF(OR($S190=0,Setup!$B$26=""),0,IF(OR($G190="",$G190="Everyone"),1,IF($G190="Custom",N(AC190),IF(OR($G190=Setup!$B$26,AND(Setup!$C$26&lt;&gt;"",$G190=Setup!$C$26)),1,0))))</f>
        <v>0</v>
      </c>
      <c r="AN190" s="60" t="n">
        <f aca="false">IF(OR($S190=0,Setup!$B$27=""),0,IF(OR($G190="",$G190="Everyone"),1,IF($G190="Custom",N(AD190),IF(OR($G190=Setup!$B$27,AND(Setup!$C$27&lt;&gt;"",$G190=Setup!$C$27)),1,0))))</f>
        <v>0</v>
      </c>
      <c r="AO190" s="60" t="n">
        <f aca="false">IF(SUM(AE190:AN190)=0,1,SUM(AE190:AN190))</f>
        <v>1</v>
      </c>
      <c r="AP190" s="60" t="n">
        <f aca="false">IF(H190="Paid",1,0)</f>
        <v>0</v>
      </c>
      <c r="AQ190" s="60" t="n">
        <f aca="false">IF(AND(S190&gt;0,SUM(AE190:AN190)=0),S190,0)</f>
        <v>0</v>
      </c>
      <c r="AR190" s="60" t="str">
        <f aca="false">IF(AND(N190&lt;&gt;"",TodayDay&lt;&gt;"",N190=TodayDay),COUNTIF($N$6:N190,TodayDay),"")</f>
        <v/>
      </c>
      <c r="AS190" s="60" t="n">
        <f aca="false">IF(B190="",0,IF(COUNTIFS(Settings!$A$5:$A$29,B190,Settings!$B$5:$B$29,"Yes")&gt;0,1,0))</f>
        <v>0</v>
      </c>
      <c r="AT190" s="61" t="n">
        <f aca="false">IF(OR(N190="",TodayDay=""),IF(N190="",S190,0),IF(N190&lt;TodayDay,S190,0))</f>
        <v>0</v>
      </c>
    </row>
    <row r="191" customFormat="false" ht="15" hidden="false" customHeight="false" outlineLevel="0" collapsed="false">
      <c r="A191" s="23"/>
      <c r="B191" s="23"/>
      <c r="C191" s="23"/>
      <c r="D191" s="56"/>
      <c r="E191" s="23"/>
      <c r="F191" s="23"/>
      <c r="G191" s="23"/>
      <c r="H191" s="23"/>
      <c r="I191" s="56"/>
      <c r="J191" s="23"/>
      <c r="K191" s="28"/>
      <c r="L191" s="23"/>
      <c r="M191" s="23"/>
      <c r="N191" s="25" t="str">
        <f aca="false">IF(A191="","",IF(LEFT(A191,3)="Pre",0,IFERROR(VALUE(MID(A191,5,FIND(" ",A191&amp;" ",5)-5)),"")))</f>
        <v/>
      </c>
      <c r="O191" s="57" t="str">
        <f aca="false">IF(N191="","",IF(N191=0,"Before trip",IF(TripStart="","",TripStart+N191-1)))</f>
        <v/>
      </c>
      <c r="P191" s="58" t="str">
        <f aca="false">IF(AND(D191="",I191=""),"",IF(OR(E191="",E191=HomeCcy),1,IFERROR(INDEX(Setup!$J$26:$J$33,MATCH(E191,Setup!$G$26:$G$33,0)),IFERROR(INDEX(Settings!$S$5:$S$64,MATCH(E191,Settings!$R$5:$R$64,0))/HomeINR,1))))</f>
        <v/>
      </c>
      <c r="Q191" s="34" t="str">
        <f aca="false">IF(D191="","",D191*P191)</f>
        <v/>
      </c>
      <c r="R191" s="34" t="str">
        <f aca="false">IF(I191="","",I191*P191)</f>
        <v/>
      </c>
      <c r="S191" s="33" t="n">
        <f aca="false">IF(H191="Cancelled",0,IF(R191&lt;&gt;"",R191,IF(Q191&lt;&gt;"",Q191,0)))</f>
        <v>0</v>
      </c>
      <c r="T191" s="45" t="str">
        <f aca="false">IF(S191=0,"",IF(SUM(AE191:AN191)=0,"⚠ nobody picked",COUNTIF(AE191:AN191,"&gt;0")&amp;" people"))</f>
        <v/>
      </c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60" t="n">
        <f aca="false">IF(OR($S191=0,Setup!$B$18=""),0,IF(OR($G191="",$G191="Everyone"),1,IF($G191="Custom",N(U191),IF(OR($G191=Setup!$B$18,AND(Setup!$C$18&lt;&gt;"",$G191=Setup!$C$18)),1,0))))</f>
        <v>0</v>
      </c>
      <c r="AF191" s="60" t="n">
        <f aca="false">IF(OR($S191=0,Setup!$B$19=""),0,IF(OR($G191="",$G191="Everyone"),1,IF($G191="Custom",N(V191),IF(OR($G191=Setup!$B$19,AND(Setup!$C$19&lt;&gt;"",$G191=Setup!$C$19)),1,0))))</f>
        <v>0</v>
      </c>
      <c r="AG191" s="60" t="n">
        <f aca="false">IF(OR($S191=0,Setup!$B$20=""),0,IF(OR($G191="",$G191="Everyone"),1,IF($G191="Custom",N(W191),IF(OR($G191=Setup!$B$20,AND(Setup!$C$20&lt;&gt;"",$G191=Setup!$C$20)),1,0))))</f>
        <v>0</v>
      </c>
      <c r="AH191" s="60" t="n">
        <f aca="false">IF(OR($S191=0,Setup!$B$21=""),0,IF(OR($G191="",$G191="Everyone"),1,IF($G191="Custom",N(X191),IF(OR($G191=Setup!$B$21,AND(Setup!$C$21&lt;&gt;"",$G191=Setup!$C$21)),1,0))))</f>
        <v>0</v>
      </c>
      <c r="AI191" s="60" t="n">
        <f aca="false">IF(OR($S191=0,Setup!$B$22=""),0,IF(OR($G191="",$G191="Everyone"),1,IF($G191="Custom",N(Y191),IF(OR($G191=Setup!$B$22,AND(Setup!$C$22&lt;&gt;"",$G191=Setup!$C$22)),1,0))))</f>
        <v>0</v>
      </c>
      <c r="AJ191" s="60" t="n">
        <f aca="false">IF(OR($S191=0,Setup!$B$23=""),0,IF(OR($G191="",$G191="Everyone"),1,IF($G191="Custom",N(Z191),IF(OR($G191=Setup!$B$23,AND(Setup!$C$23&lt;&gt;"",$G191=Setup!$C$23)),1,0))))</f>
        <v>0</v>
      </c>
      <c r="AK191" s="60" t="n">
        <f aca="false">IF(OR($S191=0,Setup!$B$24=""),0,IF(OR($G191="",$G191="Everyone"),1,IF($G191="Custom",N(AA191),IF(OR($G191=Setup!$B$24,AND(Setup!$C$24&lt;&gt;"",$G191=Setup!$C$24)),1,0))))</f>
        <v>0</v>
      </c>
      <c r="AL191" s="60" t="n">
        <f aca="false">IF(OR($S191=0,Setup!$B$25=""),0,IF(OR($G191="",$G191="Everyone"),1,IF($G191="Custom",N(AB191),IF(OR($G191=Setup!$B$25,AND(Setup!$C$25&lt;&gt;"",$G191=Setup!$C$25)),1,0))))</f>
        <v>0</v>
      </c>
      <c r="AM191" s="60" t="n">
        <f aca="false">IF(OR($S191=0,Setup!$B$26=""),0,IF(OR($G191="",$G191="Everyone"),1,IF($G191="Custom",N(AC191),IF(OR($G191=Setup!$B$26,AND(Setup!$C$26&lt;&gt;"",$G191=Setup!$C$26)),1,0))))</f>
        <v>0</v>
      </c>
      <c r="AN191" s="60" t="n">
        <f aca="false">IF(OR($S191=0,Setup!$B$27=""),0,IF(OR($G191="",$G191="Everyone"),1,IF($G191="Custom",N(AD191),IF(OR($G191=Setup!$B$27,AND(Setup!$C$27&lt;&gt;"",$G191=Setup!$C$27)),1,0))))</f>
        <v>0</v>
      </c>
      <c r="AO191" s="60" t="n">
        <f aca="false">IF(SUM(AE191:AN191)=0,1,SUM(AE191:AN191))</f>
        <v>1</v>
      </c>
      <c r="AP191" s="60" t="n">
        <f aca="false">IF(H191="Paid",1,0)</f>
        <v>0</v>
      </c>
      <c r="AQ191" s="60" t="n">
        <f aca="false">IF(AND(S191&gt;0,SUM(AE191:AN191)=0),S191,0)</f>
        <v>0</v>
      </c>
      <c r="AR191" s="60" t="str">
        <f aca="false">IF(AND(N191&lt;&gt;"",TodayDay&lt;&gt;"",N191=TodayDay),COUNTIF($N$6:N191,TodayDay),"")</f>
        <v/>
      </c>
      <c r="AS191" s="60" t="n">
        <f aca="false">IF(B191="",0,IF(COUNTIFS(Settings!$A$5:$A$29,B191,Settings!$B$5:$B$29,"Yes")&gt;0,1,0))</f>
        <v>0</v>
      </c>
      <c r="AT191" s="61" t="n">
        <f aca="false">IF(OR(N191="",TodayDay=""),IF(N191="",S191,0),IF(N191&lt;TodayDay,S191,0))</f>
        <v>0</v>
      </c>
    </row>
    <row r="192" customFormat="false" ht="15" hidden="false" customHeight="false" outlineLevel="0" collapsed="false">
      <c r="A192" s="23"/>
      <c r="B192" s="23"/>
      <c r="C192" s="23"/>
      <c r="D192" s="56"/>
      <c r="E192" s="23"/>
      <c r="F192" s="23"/>
      <c r="G192" s="23"/>
      <c r="H192" s="23"/>
      <c r="I192" s="56"/>
      <c r="J192" s="23"/>
      <c r="K192" s="28"/>
      <c r="L192" s="23"/>
      <c r="M192" s="23"/>
      <c r="N192" s="25" t="str">
        <f aca="false">IF(A192="","",IF(LEFT(A192,3)="Pre",0,IFERROR(VALUE(MID(A192,5,FIND(" ",A192&amp;" ",5)-5)),"")))</f>
        <v/>
      </c>
      <c r="O192" s="57" t="str">
        <f aca="false">IF(N192="","",IF(N192=0,"Before trip",IF(TripStart="","",TripStart+N192-1)))</f>
        <v/>
      </c>
      <c r="P192" s="58" t="str">
        <f aca="false">IF(AND(D192="",I192=""),"",IF(OR(E192="",E192=HomeCcy),1,IFERROR(INDEX(Setup!$J$26:$J$33,MATCH(E192,Setup!$G$26:$G$33,0)),IFERROR(INDEX(Settings!$S$5:$S$64,MATCH(E192,Settings!$R$5:$R$64,0))/HomeINR,1))))</f>
        <v/>
      </c>
      <c r="Q192" s="34" t="str">
        <f aca="false">IF(D192="","",D192*P192)</f>
        <v/>
      </c>
      <c r="R192" s="34" t="str">
        <f aca="false">IF(I192="","",I192*P192)</f>
        <v/>
      </c>
      <c r="S192" s="33" t="n">
        <f aca="false">IF(H192="Cancelled",0,IF(R192&lt;&gt;"",R192,IF(Q192&lt;&gt;"",Q192,0)))</f>
        <v>0</v>
      </c>
      <c r="T192" s="45" t="str">
        <f aca="false">IF(S192=0,"",IF(SUM(AE192:AN192)=0,"⚠ nobody picked",COUNTIF(AE192:AN192,"&gt;0")&amp;" people"))</f>
        <v/>
      </c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60" t="n">
        <f aca="false">IF(OR($S192=0,Setup!$B$18=""),0,IF(OR($G192="",$G192="Everyone"),1,IF($G192="Custom",N(U192),IF(OR($G192=Setup!$B$18,AND(Setup!$C$18&lt;&gt;"",$G192=Setup!$C$18)),1,0))))</f>
        <v>0</v>
      </c>
      <c r="AF192" s="60" t="n">
        <f aca="false">IF(OR($S192=0,Setup!$B$19=""),0,IF(OR($G192="",$G192="Everyone"),1,IF($G192="Custom",N(V192),IF(OR($G192=Setup!$B$19,AND(Setup!$C$19&lt;&gt;"",$G192=Setup!$C$19)),1,0))))</f>
        <v>0</v>
      </c>
      <c r="AG192" s="60" t="n">
        <f aca="false">IF(OR($S192=0,Setup!$B$20=""),0,IF(OR($G192="",$G192="Everyone"),1,IF($G192="Custom",N(W192),IF(OR($G192=Setup!$B$20,AND(Setup!$C$20&lt;&gt;"",$G192=Setup!$C$20)),1,0))))</f>
        <v>0</v>
      </c>
      <c r="AH192" s="60" t="n">
        <f aca="false">IF(OR($S192=0,Setup!$B$21=""),0,IF(OR($G192="",$G192="Everyone"),1,IF($G192="Custom",N(X192),IF(OR($G192=Setup!$B$21,AND(Setup!$C$21&lt;&gt;"",$G192=Setup!$C$21)),1,0))))</f>
        <v>0</v>
      </c>
      <c r="AI192" s="60" t="n">
        <f aca="false">IF(OR($S192=0,Setup!$B$22=""),0,IF(OR($G192="",$G192="Everyone"),1,IF($G192="Custom",N(Y192),IF(OR($G192=Setup!$B$22,AND(Setup!$C$22&lt;&gt;"",$G192=Setup!$C$22)),1,0))))</f>
        <v>0</v>
      </c>
      <c r="AJ192" s="60" t="n">
        <f aca="false">IF(OR($S192=0,Setup!$B$23=""),0,IF(OR($G192="",$G192="Everyone"),1,IF($G192="Custom",N(Z192),IF(OR($G192=Setup!$B$23,AND(Setup!$C$23&lt;&gt;"",$G192=Setup!$C$23)),1,0))))</f>
        <v>0</v>
      </c>
      <c r="AK192" s="60" t="n">
        <f aca="false">IF(OR($S192=0,Setup!$B$24=""),0,IF(OR($G192="",$G192="Everyone"),1,IF($G192="Custom",N(AA192),IF(OR($G192=Setup!$B$24,AND(Setup!$C$24&lt;&gt;"",$G192=Setup!$C$24)),1,0))))</f>
        <v>0</v>
      </c>
      <c r="AL192" s="60" t="n">
        <f aca="false">IF(OR($S192=0,Setup!$B$25=""),0,IF(OR($G192="",$G192="Everyone"),1,IF($G192="Custom",N(AB192),IF(OR($G192=Setup!$B$25,AND(Setup!$C$25&lt;&gt;"",$G192=Setup!$C$25)),1,0))))</f>
        <v>0</v>
      </c>
      <c r="AM192" s="60" t="n">
        <f aca="false">IF(OR($S192=0,Setup!$B$26=""),0,IF(OR($G192="",$G192="Everyone"),1,IF($G192="Custom",N(AC192),IF(OR($G192=Setup!$B$26,AND(Setup!$C$26&lt;&gt;"",$G192=Setup!$C$26)),1,0))))</f>
        <v>0</v>
      </c>
      <c r="AN192" s="60" t="n">
        <f aca="false">IF(OR($S192=0,Setup!$B$27=""),0,IF(OR($G192="",$G192="Everyone"),1,IF($G192="Custom",N(AD192),IF(OR($G192=Setup!$B$27,AND(Setup!$C$27&lt;&gt;"",$G192=Setup!$C$27)),1,0))))</f>
        <v>0</v>
      </c>
      <c r="AO192" s="60" t="n">
        <f aca="false">IF(SUM(AE192:AN192)=0,1,SUM(AE192:AN192))</f>
        <v>1</v>
      </c>
      <c r="AP192" s="60" t="n">
        <f aca="false">IF(H192="Paid",1,0)</f>
        <v>0</v>
      </c>
      <c r="AQ192" s="60" t="n">
        <f aca="false">IF(AND(S192&gt;0,SUM(AE192:AN192)=0),S192,0)</f>
        <v>0</v>
      </c>
      <c r="AR192" s="60" t="str">
        <f aca="false">IF(AND(N192&lt;&gt;"",TodayDay&lt;&gt;"",N192=TodayDay),COUNTIF($N$6:N192,TodayDay),"")</f>
        <v/>
      </c>
      <c r="AS192" s="60" t="n">
        <f aca="false">IF(B192="",0,IF(COUNTIFS(Settings!$A$5:$A$29,B192,Settings!$B$5:$B$29,"Yes")&gt;0,1,0))</f>
        <v>0</v>
      </c>
      <c r="AT192" s="61" t="n">
        <f aca="false">IF(OR(N192="",TodayDay=""),IF(N192="",S192,0),IF(N192&lt;TodayDay,S192,0))</f>
        <v>0</v>
      </c>
    </row>
    <row r="193" customFormat="false" ht="15" hidden="false" customHeight="false" outlineLevel="0" collapsed="false">
      <c r="A193" s="23"/>
      <c r="B193" s="23"/>
      <c r="C193" s="23"/>
      <c r="D193" s="56"/>
      <c r="E193" s="23"/>
      <c r="F193" s="23"/>
      <c r="G193" s="23"/>
      <c r="H193" s="23"/>
      <c r="I193" s="56"/>
      <c r="J193" s="23"/>
      <c r="K193" s="28"/>
      <c r="L193" s="23"/>
      <c r="M193" s="23"/>
      <c r="N193" s="25" t="str">
        <f aca="false">IF(A193="","",IF(LEFT(A193,3)="Pre",0,IFERROR(VALUE(MID(A193,5,FIND(" ",A193&amp;" ",5)-5)),"")))</f>
        <v/>
      </c>
      <c r="O193" s="57" t="str">
        <f aca="false">IF(N193="","",IF(N193=0,"Before trip",IF(TripStart="","",TripStart+N193-1)))</f>
        <v/>
      </c>
      <c r="P193" s="58" t="str">
        <f aca="false">IF(AND(D193="",I193=""),"",IF(OR(E193="",E193=HomeCcy),1,IFERROR(INDEX(Setup!$J$26:$J$33,MATCH(E193,Setup!$G$26:$G$33,0)),IFERROR(INDEX(Settings!$S$5:$S$64,MATCH(E193,Settings!$R$5:$R$64,0))/HomeINR,1))))</f>
        <v/>
      </c>
      <c r="Q193" s="34" t="str">
        <f aca="false">IF(D193="","",D193*P193)</f>
        <v/>
      </c>
      <c r="R193" s="34" t="str">
        <f aca="false">IF(I193="","",I193*P193)</f>
        <v/>
      </c>
      <c r="S193" s="33" t="n">
        <f aca="false">IF(H193="Cancelled",0,IF(R193&lt;&gt;"",R193,IF(Q193&lt;&gt;"",Q193,0)))</f>
        <v>0</v>
      </c>
      <c r="T193" s="45" t="str">
        <f aca="false">IF(S193=0,"",IF(SUM(AE193:AN193)=0,"⚠ nobody picked",COUNTIF(AE193:AN193,"&gt;0")&amp;" people"))</f>
        <v/>
      </c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60" t="n">
        <f aca="false">IF(OR($S193=0,Setup!$B$18=""),0,IF(OR($G193="",$G193="Everyone"),1,IF($G193="Custom",N(U193),IF(OR($G193=Setup!$B$18,AND(Setup!$C$18&lt;&gt;"",$G193=Setup!$C$18)),1,0))))</f>
        <v>0</v>
      </c>
      <c r="AF193" s="60" t="n">
        <f aca="false">IF(OR($S193=0,Setup!$B$19=""),0,IF(OR($G193="",$G193="Everyone"),1,IF($G193="Custom",N(V193),IF(OR($G193=Setup!$B$19,AND(Setup!$C$19&lt;&gt;"",$G193=Setup!$C$19)),1,0))))</f>
        <v>0</v>
      </c>
      <c r="AG193" s="60" t="n">
        <f aca="false">IF(OR($S193=0,Setup!$B$20=""),0,IF(OR($G193="",$G193="Everyone"),1,IF($G193="Custom",N(W193),IF(OR($G193=Setup!$B$20,AND(Setup!$C$20&lt;&gt;"",$G193=Setup!$C$20)),1,0))))</f>
        <v>0</v>
      </c>
      <c r="AH193" s="60" t="n">
        <f aca="false">IF(OR($S193=0,Setup!$B$21=""),0,IF(OR($G193="",$G193="Everyone"),1,IF($G193="Custom",N(X193),IF(OR($G193=Setup!$B$21,AND(Setup!$C$21&lt;&gt;"",$G193=Setup!$C$21)),1,0))))</f>
        <v>0</v>
      </c>
      <c r="AI193" s="60" t="n">
        <f aca="false">IF(OR($S193=0,Setup!$B$22=""),0,IF(OR($G193="",$G193="Everyone"),1,IF($G193="Custom",N(Y193),IF(OR($G193=Setup!$B$22,AND(Setup!$C$22&lt;&gt;"",$G193=Setup!$C$22)),1,0))))</f>
        <v>0</v>
      </c>
      <c r="AJ193" s="60" t="n">
        <f aca="false">IF(OR($S193=0,Setup!$B$23=""),0,IF(OR($G193="",$G193="Everyone"),1,IF($G193="Custom",N(Z193),IF(OR($G193=Setup!$B$23,AND(Setup!$C$23&lt;&gt;"",$G193=Setup!$C$23)),1,0))))</f>
        <v>0</v>
      </c>
      <c r="AK193" s="60" t="n">
        <f aca="false">IF(OR($S193=0,Setup!$B$24=""),0,IF(OR($G193="",$G193="Everyone"),1,IF($G193="Custom",N(AA193),IF(OR($G193=Setup!$B$24,AND(Setup!$C$24&lt;&gt;"",$G193=Setup!$C$24)),1,0))))</f>
        <v>0</v>
      </c>
      <c r="AL193" s="60" t="n">
        <f aca="false">IF(OR($S193=0,Setup!$B$25=""),0,IF(OR($G193="",$G193="Everyone"),1,IF($G193="Custom",N(AB193),IF(OR($G193=Setup!$B$25,AND(Setup!$C$25&lt;&gt;"",$G193=Setup!$C$25)),1,0))))</f>
        <v>0</v>
      </c>
      <c r="AM193" s="60" t="n">
        <f aca="false">IF(OR($S193=0,Setup!$B$26=""),0,IF(OR($G193="",$G193="Everyone"),1,IF($G193="Custom",N(AC193),IF(OR($G193=Setup!$B$26,AND(Setup!$C$26&lt;&gt;"",$G193=Setup!$C$26)),1,0))))</f>
        <v>0</v>
      </c>
      <c r="AN193" s="60" t="n">
        <f aca="false">IF(OR($S193=0,Setup!$B$27=""),0,IF(OR($G193="",$G193="Everyone"),1,IF($G193="Custom",N(AD193),IF(OR($G193=Setup!$B$27,AND(Setup!$C$27&lt;&gt;"",$G193=Setup!$C$27)),1,0))))</f>
        <v>0</v>
      </c>
      <c r="AO193" s="60" t="n">
        <f aca="false">IF(SUM(AE193:AN193)=0,1,SUM(AE193:AN193))</f>
        <v>1</v>
      </c>
      <c r="AP193" s="60" t="n">
        <f aca="false">IF(H193="Paid",1,0)</f>
        <v>0</v>
      </c>
      <c r="AQ193" s="60" t="n">
        <f aca="false">IF(AND(S193&gt;0,SUM(AE193:AN193)=0),S193,0)</f>
        <v>0</v>
      </c>
      <c r="AR193" s="60" t="str">
        <f aca="false">IF(AND(N193&lt;&gt;"",TodayDay&lt;&gt;"",N193=TodayDay),COUNTIF($N$6:N193,TodayDay),"")</f>
        <v/>
      </c>
      <c r="AS193" s="60" t="n">
        <f aca="false">IF(B193="",0,IF(COUNTIFS(Settings!$A$5:$A$29,B193,Settings!$B$5:$B$29,"Yes")&gt;0,1,0))</f>
        <v>0</v>
      </c>
      <c r="AT193" s="61" t="n">
        <f aca="false">IF(OR(N193="",TodayDay=""),IF(N193="",S193,0),IF(N193&lt;TodayDay,S193,0))</f>
        <v>0</v>
      </c>
    </row>
    <row r="194" customFormat="false" ht="15" hidden="false" customHeight="false" outlineLevel="0" collapsed="false">
      <c r="A194" s="23"/>
      <c r="B194" s="23"/>
      <c r="C194" s="23"/>
      <c r="D194" s="56"/>
      <c r="E194" s="23"/>
      <c r="F194" s="23"/>
      <c r="G194" s="23"/>
      <c r="H194" s="23"/>
      <c r="I194" s="56"/>
      <c r="J194" s="23"/>
      <c r="K194" s="28"/>
      <c r="L194" s="23"/>
      <c r="M194" s="23"/>
      <c r="N194" s="25" t="str">
        <f aca="false">IF(A194="","",IF(LEFT(A194,3)="Pre",0,IFERROR(VALUE(MID(A194,5,FIND(" ",A194&amp;" ",5)-5)),"")))</f>
        <v/>
      </c>
      <c r="O194" s="57" t="str">
        <f aca="false">IF(N194="","",IF(N194=0,"Before trip",IF(TripStart="","",TripStart+N194-1)))</f>
        <v/>
      </c>
      <c r="P194" s="58" t="str">
        <f aca="false">IF(AND(D194="",I194=""),"",IF(OR(E194="",E194=HomeCcy),1,IFERROR(INDEX(Setup!$J$26:$J$33,MATCH(E194,Setup!$G$26:$G$33,0)),IFERROR(INDEX(Settings!$S$5:$S$64,MATCH(E194,Settings!$R$5:$R$64,0))/HomeINR,1))))</f>
        <v/>
      </c>
      <c r="Q194" s="34" t="str">
        <f aca="false">IF(D194="","",D194*P194)</f>
        <v/>
      </c>
      <c r="R194" s="34" t="str">
        <f aca="false">IF(I194="","",I194*P194)</f>
        <v/>
      </c>
      <c r="S194" s="33" t="n">
        <f aca="false">IF(H194="Cancelled",0,IF(R194&lt;&gt;"",R194,IF(Q194&lt;&gt;"",Q194,0)))</f>
        <v>0</v>
      </c>
      <c r="T194" s="45" t="str">
        <f aca="false">IF(S194=0,"",IF(SUM(AE194:AN194)=0,"⚠ nobody picked",COUNTIF(AE194:AN194,"&gt;0")&amp;" people"))</f>
        <v/>
      </c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60" t="n">
        <f aca="false">IF(OR($S194=0,Setup!$B$18=""),0,IF(OR($G194="",$G194="Everyone"),1,IF($G194="Custom",N(U194),IF(OR($G194=Setup!$B$18,AND(Setup!$C$18&lt;&gt;"",$G194=Setup!$C$18)),1,0))))</f>
        <v>0</v>
      </c>
      <c r="AF194" s="60" t="n">
        <f aca="false">IF(OR($S194=0,Setup!$B$19=""),0,IF(OR($G194="",$G194="Everyone"),1,IF($G194="Custom",N(V194),IF(OR($G194=Setup!$B$19,AND(Setup!$C$19&lt;&gt;"",$G194=Setup!$C$19)),1,0))))</f>
        <v>0</v>
      </c>
      <c r="AG194" s="60" t="n">
        <f aca="false">IF(OR($S194=0,Setup!$B$20=""),0,IF(OR($G194="",$G194="Everyone"),1,IF($G194="Custom",N(W194),IF(OR($G194=Setup!$B$20,AND(Setup!$C$20&lt;&gt;"",$G194=Setup!$C$20)),1,0))))</f>
        <v>0</v>
      </c>
      <c r="AH194" s="60" t="n">
        <f aca="false">IF(OR($S194=0,Setup!$B$21=""),0,IF(OR($G194="",$G194="Everyone"),1,IF($G194="Custom",N(X194),IF(OR($G194=Setup!$B$21,AND(Setup!$C$21&lt;&gt;"",$G194=Setup!$C$21)),1,0))))</f>
        <v>0</v>
      </c>
      <c r="AI194" s="60" t="n">
        <f aca="false">IF(OR($S194=0,Setup!$B$22=""),0,IF(OR($G194="",$G194="Everyone"),1,IF($G194="Custom",N(Y194),IF(OR($G194=Setup!$B$22,AND(Setup!$C$22&lt;&gt;"",$G194=Setup!$C$22)),1,0))))</f>
        <v>0</v>
      </c>
      <c r="AJ194" s="60" t="n">
        <f aca="false">IF(OR($S194=0,Setup!$B$23=""),0,IF(OR($G194="",$G194="Everyone"),1,IF($G194="Custom",N(Z194),IF(OR($G194=Setup!$B$23,AND(Setup!$C$23&lt;&gt;"",$G194=Setup!$C$23)),1,0))))</f>
        <v>0</v>
      </c>
      <c r="AK194" s="60" t="n">
        <f aca="false">IF(OR($S194=0,Setup!$B$24=""),0,IF(OR($G194="",$G194="Everyone"),1,IF($G194="Custom",N(AA194),IF(OR($G194=Setup!$B$24,AND(Setup!$C$24&lt;&gt;"",$G194=Setup!$C$24)),1,0))))</f>
        <v>0</v>
      </c>
      <c r="AL194" s="60" t="n">
        <f aca="false">IF(OR($S194=0,Setup!$B$25=""),0,IF(OR($G194="",$G194="Everyone"),1,IF($G194="Custom",N(AB194),IF(OR($G194=Setup!$B$25,AND(Setup!$C$25&lt;&gt;"",$G194=Setup!$C$25)),1,0))))</f>
        <v>0</v>
      </c>
      <c r="AM194" s="60" t="n">
        <f aca="false">IF(OR($S194=0,Setup!$B$26=""),0,IF(OR($G194="",$G194="Everyone"),1,IF($G194="Custom",N(AC194),IF(OR($G194=Setup!$B$26,AND(Setup!$C$26&lt;&gt;"",$G194=Setup!$C$26)),1,0))))</f>
        <v>0</v>
      </c>
      <c r="AN194" s="60" t="n">
        <f aca="false">IF(OR($S194=0,Setup!$B$27=""),0,IF(OR($G194="",$G194="Everyone"),1,IF($G194="Custom",N(AD194),IF(OR($G194=Setup!$B$27,AND(Setup!$C$27&lt;&gt;"",$G194=Setup!$C$27)),1,0))))</f>
        <v>0</v>
      </c>
      <c r="AO194" s="60" t="n">
        <f aca="false">IF(SUM(AE194:AN194)=0,1,SUM(AE194:AN194))</f>
        <v>1</v>
      </c>
      <c r="AP194" s="60" t="n">
        <f aca="false">IF(H194="Paid",1,0)</f>
        <v>0</v>
      </c>
      <c r="AQ194" s="60" t="n">
        <f aca="false">IF(AND(S194&gt;0,SUM(AE194:AN194)=0),S194,0)</f>
        <v>0</v>
      </c>
      <c r="AR194" s="60" t="str">
        <f aca="false">IF(AND(N194&lt;&gt;"",TodayDay&lt;&gt;"",N194=TodayDay),COUNTIF($N$6:N194,TodayDay),"")</f>
        <v/>
      </c>
      <c r="AS194" s="60" t="n">
        <f aca="false">IF(B194="",0,IF(COUNTIFS(Settings!$A$5:$A$29,B194,Settings!$B$5:$B$29,"Yes")&gt;0,1,0))</f>
        <v>0</v>
      </c>
      <c r="AT194" s="61" t="n">
        <f aca="false">IF(OR(N194="",TodayDay=""),IF(N194="",S194,0),IF(N194&lt;TodayDay,S194,0))</f>
        <v>0</v>
      </c>
    </row>
    <row r="195" customFormat="false" ht="15" hidden="false" customHeight="false" outlineLevel="0" collapsed="false">
      <c r="A195" s="23"/>
      <c r="B195" s="23"/>
      <c r="C195" s="23"/>
      <c r="D195" s="56"/>
      <c r="E195" s="23"/>
      <c r="F195" s="23"/>
      <c r="G195" s="23"/>
      <c r="H195" s="23"/>
      <c r="I195" s="56"/>
      <c r="J195" s="23"/>
      <c r="K195" s="28"/>
      <c r="L195" s="23"/>
      <c r="M195" s="23"/>
      <c r="N195" s="25" t="str">
        <f aca="false">IF(A195="","",IF(LEFT(A195,3)="Pre",0,IFERROR(VALUE(MID(A195,5,FIND(" ",A195&amp;" ",5)-5)),"")))</f>
        <v/>
      </c>
      <c r="O195" s="57" t="str">
        <f aca="false">IF(N195="","",IF(N195=0,"Before trip",IF(TripStart="","",TripStart+N195-1)))</f>
        <v/>
      </c>
      <c r="P195" s="58" t="str">
        <f aca="false">IF(AND(D195="",I195=""),"",IF(OR(E195="",E195=HomeCcy),1,IFERROR(INDEX(Setup!$J$26:$J$33,MATCH(E195,Setup!$G$26:$G$33,0)),IFERROR(INDEX(Settings!$S$5:$S$64,MATCH(E195,Settings!$R$5:$R$64,0))/HomeINR,1))))</f>
        <v/>
      </c>
      <c r="Q195" s="34" t="str">
        <f aca="false">IF(D195="","",D195*P195)</f>
        <v/>
      </c>
      <c r="R195" s="34" t="str">
        <f aca="false">IF(I195="","",I195*P195)</f>
        <v/>
      </c>
      <c r="S195" s="33" t="n">
        <f aca="false">IF(H195="Cancelled",0,IF(R195&lt;&gt;"",R195,IF(Q195&lt;&gt;"",Q195,0)))</f>
        <v>0</v>
      </c>
      <c r="T195" s="45" t="str">
        <f aca="false">IF(S195=0,"",IF(SUM(AE195:AN195)=0,"⚠ nobody picked",COUNTIF(AE195:AN195,"&gt;0")&amp;" people"))</f>
        <v/>
      </c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60" t="n">
        <f aca="false">IF(OR($S195=0,Setup!$B$18=""),0,IF(OR($G195="",$G195="Everyone"),1,IF($G195="Custom",N(U195),IF(OR($G195=Setup!$B$18,AND(Setup!$C$18&lt;&gt;"",$G195=Setup!$C$18)),1,0))))</f>
        <v>0</v>
      </c>
      <c r="AF195" s="60" t="n">
        <f aca="false">IF(OR($S195=0,Setup!$B$19=""),0,IF(OR($G195="",$G195="Everyone"),1,IF($G195="Custom",N(V195),IF(OR($G195=Setup!$B$19,AND(Setup!$C$19&lt;&gt;"",$G195=Setup!$C$19)),1,0))))</f>
        <v>0</v>
      </c>
      <c r="AG195" s="60" t="n">
        <f aca="false">IF(OR($S195=0,Setup!$B$20=""),0,IF(OR($G195="",$G195="Everyone"),1,IF($G195="Custom",N(W195),IF(OR($G195=Setup!$B$20,AND(Setup!$C$20&lt;&gt;"",$G195=Setup!$C$20)),1,0))))</f>
        <v>0</v>
      </c>
      <c r="AH195" s="60" t="n">
        <f aca="false">IF(OR($S195=0,Setup!$B$21=""),0,IF(OR($G195="",$G195="Everyone"),1,IF($G195="Custom",N(X195),IF(OR($G195=Setup!$B$21,AND(Setup!$C$21&lt;&gt;"",$G195=Setup!$C$21)),1,0))))</f>
        <v>0</v>
      </c>
      <c r="AI195" s="60" t="n">
        <f aca="false">IF(OR($S195=0,Setup!$B$22=""),0,IF(OR($G195="",$G195="Everyone"),1,IF($G195="Custom",N(Y195),IF(OR($G195=Setup!$B$22,AND(Setup!$C$22&lt;&gt;"",$G195=Setup!$C$22)),1,0))))</f>
        <v>0</v>
      </c>
      <c r="AJ195" s="60" t="n">
        <f aca="false">IF(OR($S195=0,Setup!$B$23=""),0,IF(OR($G195="",$G195="Everyone"),1,IF($G195="Custom",N(Z195),IF(OR($G195=Setup!$B$23,AND(Setup!$C$23&lt;&gt;"",$G195=Setup!$C$23)),1,0))))</f>
        <v>0</v>
      </c>
      <c r="AK195" s="60" t="n">
        <f aca="false">IF(OR($S195=0,Setup!$B$24=""),0,IF(OR($G195="",$G195="Everyone"),1,IF($G195="Custom",N(AA195),IF(OR($G195=Setup!$B$24,AND(Setup!$C$24&lt;&gt;"",$G195=Setup!$C$24)),1,0))))</f>
        <v>0</v>
      </c>
      <c r="AL195" s="60" t="n">
        <f aca="false">IF(OR($S195=0,Setup!$B$25=""),0,IF(OR($G195="",$G195="Everyone"),1,IF($G195="Custom",N(AB195),IF(OR($G195=Setup!$B$25,AND(Setup!$C$25&lt;&gt;"",$G195=Setup!$C$25)),1,0))))</f>
        <v>0</v>
      </c>
      <c r="AM195" s="60" t="n">
        <f aca="false">IF(OR($S195=0,Setup!$B$26=""),0,IF(OR($G195="",$G195="Everyone"),1,IF($G195="Custom",N(AC195),IF(OR($G195=Setup!$B$26,AND(Setup!$C$26&lt;&gt;"",$G195=Setup!$C$26)),1,0))))</f>
        <v>0</v>
      </c>
      <c r="AN195" s="60" t="n">
        <f aca="false">IF(OR($S195=0,Setup!$B$27=""),0,IF(OR($G195="",$G195="Everyone"),1,IF($G195="Custom",N(AD195),IF(OR($G195=Setup!$B$27,AND(Setup!$C$27&lt;&gt;"",$G195=Setup!$C$27)),1,0))))</f>
        <v>0</v>
      </c>
      <c r="AO195" s="60" t="n">
        <f aca="false">IF(SUM(AE195:AN195)=0,1,SUM(AE195:AN195))</f>
        <v>1</v>
      </c>
      <c r="AP195" s="60" t="n">
        <f aca="false">IF(H195="Paid",1,0)</f>
        <v>0</v>
      </c>
      <c r="AQ195" s="60" t="n">
        <f aca="false">IF(AND(S195&gt;0,SUM(AE195:AN195)=0),S195,0)</f>
        <v>0</v>
      </c>
      <c r="AR195" s="60" t="str">
        <f aca="false">IF(AND(N195&lt;&gt;"",TodayDay&lt;&gt;"",N195=TodayDay),COUNTIF($N$6:N195,TodayDay),"")</f>
        <v/>
      </c>
      <c r="AS195" s="60" t="n">
        <f aca="false">IF(B195="",0,IF(COUNTIFS(Settings!$A$5:$A$29,B195,Settings!$B$5:$B$29,"Yes")&gt;0,1,0))</f>
        <v>0</v>
      </c>
      <c r="AT195" s="61" t="n">
        <f aca="false">IF(OR(N195="",TodayDay=""),IF(N195="",S195,0),IF(N195&lt;TodayDay,S195,0))</f>
        <v>0</v>
      </c>
    </row>
    <row r="196" customFormat="false" ht="15" hidden="false" customHeight="false" outlineLevel="0" collapsed="false">
      <c r="A196" s="23"/>
      <c r="B196" s="23"/>
      <c r="C196" s="23"/>
      <c r="D196" s="56"/>
      <c r="E196" s="23"/>
      <c r="F196" s="23"/>
      <c r="G196" s="23"/>
      <c r="H196" s="23"/>
      <c r="I196" s="56"/>
      <c r="J196" s="23"/>
      <c r="K196" s="28"/>
      <c r="L196" s="23"/>
      <c r="M196" s="23"/>
      <c r="N196" s="25" t="str">
        <f aca="false">IF(A196="","",IF(LEFT(A196,3)="Pre",0,IFERROR(VALUE(MID(A196,5,FIND(" ",A196&amp;" ",5)-5)),"")))</f>
        <v/>
      </c>
      <c r="O196" s="57" t="str">
        <f aca="false">IF(N196="","",IF(N196=0,"Before trip",IF(TripStart="","",TripStart+N196-1)))</f>
        <v/>
      </c>
      <c r="P196" s="58" t="str">
        <f aca="false">IF(AND(D196="",I196=""),"",IF(OR(E196="",E196=HomeCcy),1,IFERROR(INDEX(Setup!$J$26:$J$33,MATCH(E196,Setup!$G$26:$G$33,0)),IFERROR(INDEX(Settings!$S$5:$S$64,MATCH(E196,Settings!$R$5:$R$64,0))/HomeINR,1))))</f>
        <v/>
      </c>
      <c r="Q196" s="34" t="str">
        <f aca="false">IF(D196="","",D196*P196)</f>
        <v/>
      </c>
      <c r="R196" s="34" t="str">
        <f aca="false">IF(I196="","",I196*P196)</f>
        <v/>
      </c>
      <c r="S196" s="33" t="n">
        <f aca="false">IF(H196="Cancelled",0,IF(R196&lt;&gt;"",R196,IF(Q196&lt;&gt;"",Q196,0)))</f>
        <v>0</v>
      </c>
      <c r="T196" s="45" t="str">
        <f aca="false">IF(S196=0,"",IF(SUM(AE196:AN196)=0,"⚠ nobody picked",COUNTIF(AE196:AN196,"&gt;0")&amp;" people"))</f>
        <v/>
      </c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60" t="n">
        <f aca="false">IF(OR($S196=0,Setup!$B$18=""),0,IF(OR($G196="",$G196="Everyone"),1,IF($G196="Custom",N(U196),IF(OR($G196=Setup!$B$18,AND(Setup!$C$18&lt;&gt;"",$G196=Setup!$C$18)),1,0))))</f>
        <v>0</v>
      </c>
      <c r="AF196" s="60" t="n">
        <f aca="false">IF(OR($S196=0,Setup!$B$19=""),0,IF(OR($G196="",$G196="Everyone"),1,IF($G196="Custom",N(V196),IF(OR($G196=Setup!$B$19,AND(Setup!$C$19&lt;&gt;"",$G196=Setup!$C$19)),1,0))))</f>
        <v>0</v>
      </c>
      <c r="AG196" s="60" t="n">
        <f aca="false">IF(OR($S196=0,Setup!$B$20=""),0,IF(OR($G196="",$G196="Everyone"),1,IF($G196="Custom",N(W196),IF(OR($G196=Setup!$B$20,AND(Setup!$C$20&lt;&gt;"",$G196=Setup!$C$20)),1,0))))</f>
        <v>0</v>
      </c>
      <c r="AH196" s="60" t="n">
        <f aca="false">IF(OR($S196=0,Setup!$B$21=""),0,IF(OR($G196="",$G196="Everyone"),1,IF($G196="Custom",N(X196),IF(OR($G196=Setup!$B$21,AND(Setup!$C$21&lt;&gt;"",$G196=Setup!$C$21)),1,0))))</f>
        <v>0</v>
      </c>
      <c r="AI196" s="60" t="n">
        <f aca="false">IF(OR($S196=0,Setup!$B$22=""),0,IF(OR($G196="",$G196="Everyone"),1,IF($G196="Custom",N(Y196),IF(OR($G196=Setup!$B$22,AND(Setup!$C$22&lt;&gt;"",$G196=Setup!$C$22)),1,0))))</f>
        <v>0</v>
      </c>
      <c r="AJ196" s="60" t="n">
        <f aca="false">IF(OR($S196=0,Setup!$B$23=""),0,IF(OR($G196="",$G196="Everyone"),1,IF($G196="Custom",N(Z196),IF(OR($G196=Setup!$B$23,AND(Setup!$C$23&lt;&gt;"",$G196=Setup!$C$23)),1,0))))</f>
        <v>0</v>
      </c>
      <c r="AK196" s="60" t="n">
        <f aca="false">IF(OR($S196=0,Setup!$B$24=""),0,IF(OR($G196="",$G196="Everyone"),1,IF($G196="Custom",N(AA196),IF(OR($G196=Setup!$B$24,AND(Setup!$C$24&lt;&gt;"",$G196=Setup!$C$24)),1,0))))</f>
        <v>0</v>
      </c>
      <c r="AL196" s="60" t="n">
        <f aca="false">IF(OR($S196=0,Setup!$B$25=""),0,IF(OR($G196="",$G196="Everyone"),1,IF($G196="Custom",N(AB196),IF(OR($G196=Setup!$B$25,AND(Setup!$C$25&lt;&gt;"",$G196=Setup!$C$25)),1,0))))</f>
        <v>0</v>
      </c>
      <c r="AM196" s="60" t="n">
        <f aca="false">IF(OR($S196=0,Setup!$B$26=""),0,IF(OR($G196="",$G196="Everyone"),1,IF($G196="Custom",N(AC196),IF(OR($G196=Setup!$B$26,AND(Setup!$C$26&lt;&gt;"",$G196=Setup!$C$26)),1,0))))</f>
        <v>0</v>
      </c>
      <c r="AN196" s="60" t="n">
        <f aca="false">IF(OR($S196=0,Setup!$B$27=""),0,IF(OR($G196="",$G196="Everyone"),1,IF($G196="Custom",N(AD196),IF(OR($G196=Setup!$B$27,AND(Setup!$C$27&lt;&gt;"",$G196=Setup!$C$27)),1,0))))</f>
        <v>0</v>
      </c>
      <c r="AO196" s="60" t="n">
        <f aca="false">IF(SUM(AE196:AN196)=0,1,SUM(AE196:AN196))</f>
        <v>1</v>
      </c>
      <c r="AP196" s="60" t="n">
        <f aca="false">IF(H196="Paid",1,0)</f>
        <v>0</v>
      </c>
      <c r="AQ196" s="60" t="n">
        <f aca="false">IF(AND(S196&gt;0,SUM(AE196:AN196)=0),S196,0)</f>
        <v>0</v>
      </c>
      <c r="AR196" s="60" t="str">
        <f aca="false">IF(AND(N196&lt;&gt;"",TodayDay&lt;&gt;"",N196=TodayDay),COUNTIF($N$6:N196,TodayDay),"")</f>
        <v/>
      </c>
      <c r="AS196" s="60" t="n">
        <f aca="false">IF(B196="",0,IF(COUNTIFS(Settings!$A$5:$A$29,B196,Settings!$B$5:$B$29,"Yes")&gt;0,1,0))</f>
        <v>0</v>
      </c>
      <c r="AT196" s="61" t="n">
        <f aca="false">IF(OR(N196="",TodayDay=""),IF(N196="",S196,0),IF(N196&lt;TodayDay,S196,0))</f>
        <v>0</v>
      </c>
    </row>
    <row r="197" customFormat="false" ht="15" hidden="false" customHeight="false" outlineLevel="0" collapsed="false">
      <c r="A197" s="23"/>
      <c r="B197" s="23"/>
      <c r="C197" s="23"/>
      <c r="D197" s="56"/>
      <c r="E197" s="23"/>
      <c r="F197" s="23"/>
      <c r="G197" s="23"/>
      <c r="H197" s="23"/>
      <c r="I197" s="56"/>
      <c r="J197" s="23"/>
      <c r="K197" s="28"/>
      <c r="L197" s="23"/>
      <c r="M197" s="23"/>
      <c r="N197" s="25" t="str">
        <f aca="false">IF(A197="","",IF(LEFT(A197,3)="Pre",0,IFERROR(VALUE(MID(A197,5,FIND(" ",A197&amp;" ",5)-5)),"")))</f>
        <v/>
      </c>
      <c r="O197" s="57" t="str">
        <f aca="false">IF(N197="","",IF(N197=0,"Before trip",IF(TripStart="","",TripStart+N197-1)))</f>
        <v/>
      </c>
      <c r="P197" s="58" t="str">
        <f aca="false">IF(AND(D197="",I197=""),"",IF(OR(E197="",E197=HomeCcy),1,IFERROR(INDEX(Setup!$J$26:$J$33,MATCH(E197,Setup!$G$26:$G$33,0)),IFERROR(INDEX(Settings!$S$5:$S$64,MATCH(E197,Settings!$R$5:$R$64,0))/HomeINR,1))))</f>
        <v/>
      </c>
      <c r="Q197" s="34" t="str">
        <f aca="false">IF(D197="","",D197*P197)</f>
        <v/>
      </c>
      <c r="R197" s="34" t="str">
        <f aca="false">IF(I197="","",I197*P197)</f>
        <v/>
      </c>
      <c r="S197" s="33" t="n">
        <f aca="false">IF(H197="Cancelled",0,IF(R197&lt;&gt;"",R197,IF(Q197&lt;&gt;"",Q197,0)))</f>
        <v>0</v>
      </c>
      <c r="T197" s="45" t="str">
        <f aca="false">IF(S197=0,"",IF(SUM(AE197:AN197)=0,"⚠ nobody picked",COUNTIF(AE197:AN197,"&gt;0")&amp;" people"))</f>
        <v/>
      </c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60" t="n">
        <f aca="false">IF(OR($S197=0,Setup!$B$18=""),0,IF(OR($G197="",$G197="Everyone"),1,IF($G197="Custom",N(U197),IF(OR($G197=Setup!$B$18,AND(Setup!$C$18&lt;&gt;"",$G197=Setup!$C$18)),1,0))))</f>
        <v>0</v>
      </c>
      <c r="AF197" s="60" t="n">
        <f aca="false">IF(OR($S197=0,Setup!$B$19=""),0,IF(OR($G197="",$G197="Everyone"),1,IF($G197="Custom",N(V197),IF(OR($G197=Setup!$B$19,AND(Setup!$C$19&lt;&gt;"",$G197=Setup!$C$19)),1,0))))</f>
        <v>0</v>
      </c>
      <c r="AG197" s="60" t="n">
        <f aca="false">IF(OR($S197=0,Setup!$B$20=""),0,IF(OR($G197="",$G197="Everyone"),1,IF($G197="Custom",N(W197),IF(OR($G197=Setup!$B$20,AND(Setup!$C$20&lt;&gt;"",$G197=Setup!$C$20)),1,0))))</f>
        <v>0</v>
      </c>
      <c r="AH197" s="60" t="n">
        <f aca="false">IF(OR($S197=0,Setup!$B$21=""),0,IF(OR($G197="",$G197="Everyone"),1,IF($G197="Custom",N(X197),IF(OR($G197=Setup!$B$21,AND(Setup!$C$21&lt;&gt;"",$G197=Setup!$C$21)),1,0))))</f>
        <v>0</v>
      </c>
      <c r="AI197" s="60" t="n">
        <f aca="false">IF(OR($S197=0,Setup!$B$22=""),0,IF(OR($G197="",$G197="Everyone"),1,IF($G197="Custom",N(Y197),IF(OR($G197=Setup!$B$22,AND(Setup!$C$22&lt;&gt;"",$G197=Setup!$C$22)),1,0))))</f>
        <v>0</v>
      </c>
      <c r="AJ197" s="60" t="n">
        <f aca="false">IF(OR($S197=0,Setup!$B$23=""),0,IF(OR($G197="",$G197="Everyone"),1,IF($G197="Custom",N(Z197),IF(OR($G197=Setup!$B$23,AND(Setup!$C$23&lt;&gt;"",$G197=Setup!$C$23)),1,0))))</f>
        <v>0</v>
      </c>
      <c r="AK197" s="60" t="n">
        <f aca="false">IF(OR($S197=0,Setup!$B$24=""),0,IF(OR($G197="",$G197="Everyone"),1,IF($G197="Custom",N(AA197),IF(OR($G197=Setup!$B$24,AND(Setup!$C$24&lt;&gt;"",$G197=Setup!$C$24)),1,0))))</f>
        <v>0</v>
      </c>
      <c r="AL197" s="60" t="n">
        <f aca="false">IF(OR($S197=0,Setup!$B$25=""),0,IF(OR($G197="",$G197="Everyone"),1,IF($G197="Custom",N(AB197),IF(OR($G197=Setup!$B$25,AND(Setup!$C$25&lt;&gt;"",$G197=Setup!$C$25)),1,0))))</f>
        <v>0</v>
      </c>
      <c r="AM197" s="60" t="n">
        <f aca="false">IF(OR($S197=0,Setup!$B$26=""),0,IF(OR($G197="",$G197="Everyone"),1,IF($G197="Custom",N(AC197),IF(OR($G197=Setup!$B$26,AND(Setup!$C$26&lt;&gt;"",$G197=Setup!$C$26)),1,0))))</f>
        <v>0</v>
      </c>
      <c r="AN197" s="60" t="n">
        <f aca="false">IF(OR($S197=0,Setup!$B$27=""),0,IF(OR($G197="",$G197="Everyone"),1,IF($G197="Custom",N(AD197),IF(OR($G197=Setup!$B$27,AND(Setup!$C$27&lt;&gt;"",$G197=Setup!$C$27)),1,0))))</f>
        <v>0</v>
      </c>
      <c r="AO197" s="60" t="n">
        <f aca="false">IF(SUM(AE197:AN197)=0,1,SUM(AE197:AN197))</f>
        <v>1</v>
      </c>
      <c r="AP197" s="60" t="n">
        <f aca="false">IF(H197="Paid",1,0)</f>
        <v>0</v>
      </c>
      <c r="AQ197" s="60" t="n">
        <f aca="false">IF(AND(S197&gt;0,SUM(AE197:AN197)=0),S197,0)</f>
        <v>0</v>
      </c>
      <c r="AR197" s="60" t="str">
        <f aca="false">IF(AND(N197&lt;&gt;"",TodayDay&lt;&gt;"",N197=TodayDay),COUNTIF($N$6:N197,TodayDay),"")</f>
        <v/>
      </c>
      <c r="AS197" s="60" t="n">
        <f aca="false">IF(B197="",0,IF(COUNTIFS(Settings!$A$5:$A$29,B197,Settings!$B$5:$B$29,"Yes")&gt;0,1,0))</f>
        <v>0</v>
      </c>
      <c r="AT197" s="61" t="n">
        <f aca="false">IF(OR(N197="",TodayDay=""),IF(N197="",S197,0),IF(N197&lt;TodayDay,S197,0))</f>
        <v>0</v>
      </c>
    </row>
    <row r="198" customFormat="false" ht="15" hidden="false" customHeight="false" outlineLevel="0" collapsed="false">
      <c r="A198" s="23"/>
      <c r="B198" s="23"/>
      <c r="C198" s="23"/>
      <c r="D198" s="56"/>
      <c r="E198" s="23"/>
      <c r="F198" s="23"/>
      <c r="G198" s="23"/>
      <c r="H198" s="23"/>
      <c r="I198" s="56"/>
      <c r="J198" s="23"/>
      <c r="K198" s="28"/>
      <c r="L198" s="23"/>
      <c r="M198" s="23"/>
      <c r="N198" s="25" t="str">
        <f aca="false">IF(A198="","",IF(LEFT(A198,3)="Pre",0,IFERROR(VALUE(MID(A198,5,FIND(" ",A198&amp;" ",5)-5)),"")))</f>
        <v/>
      </c>
      <c r="O198" s="57" t="str">
        <f aca="false">IF(N198="","",IF(N198=0,"Before trip",IF(TripStart="","",TripStart+N198-1)))</f>
        <v/>
      </c>
      <c r="P198" s="58" t="str">
        <f aca="false">IF(AND(D198="",I198=""),"",IF(OR(E198="",E198=HomeCcy),1,IFERROR(INDEX(Setup!$J$26:$J$33,MATCH(E198,Setup!$G$26:$G$33,0)),IFERROR(INDEX(Settings!$S$5:$S$64,MATCH(E198,Settings!$R$5:$R$64,0))/HomeINR,1))))</f>
        <v/>
      </c>
      <c r="Q198" s="34" t="str">
        <f aca="false">IF(D198="","",D198*P198)</f>
        <v/>
      </c>
      <c r="R198" s="34" t="str">
        <f aca="false">IF(I198="","",I198*P198)</f>
        <v/>
      </c>
      <c r="S198" s="33" t="n">
        <f aca="false">IF(H198="Cancelled",0,IF(R198&lt;&gt;"",R198,IF(Q198&lt;&gt;"",Q198,0)))</f>
        <v>0</v>
      </c>
      <c r="T198" s="45" t="str">
        <f aca="false">IF(S198=0,"",IF(SUM(AE198:AN198)=0,"⚠ nobody picked",COUNTIF(AE198:AN198,"&gt;0")&amp;" people"))</f>
        <v/>
      </c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60" t="n">
        <f aca="false">IF(OR($S198=0,Setup!$B$18=""),0,IF(OR($G198="",$G198="Everyone"),1,IF($G198="Custom",N(U198),IF(OR($G198=Setup!$B$18,AND(Setup!$C$18&lt;&gt;"",$G198=Setup!$C$18)),1,0))))</f>
        <v>0</v>
      </c>
      <c r="AF198" s="60" t="n">
        <f aca="false">IF(OR($S198=0,Setup!$B$19=""),0,IF(OR($G198="",$G198="Everyone"),1,IF($G198="Custom",N(V198),IF(OR($G198=Setup!$B$19,AND(Setup!$C$19&lt;&gt;"",$G198=Setup!$C$19)),1,0))))</f>
        <v>0</v>
      </c>
      <c r="AG198" s="60" t="n">
        <f aca="false">IF(OR($S198=0,Setup!$B$20=""),0,IF(OR($G198="",$G198="Everyone"),1,IF($G198="Custom",N(W198),IF(OR($G198=Setup!$B$20,AND(Setup!$C$20&lt;&gt;"",$G198=Setup!$C$20)),1,0))))</f>
        <v>0</v>
      </c>
      <c r="AH198" s="60" t="n">
        <f aca="false">IF(OR($S198=0,Setup!$B$21=""),0,IF(OR($G198="",$G198="Everyone"),1,IF($G198="Custom",N(X198),IF(OR($G198=Setup!$B$21,AND(Setup!$C$21&lt;&gt;"",$G198=Setup!$C$21)),1,0))))</f>
        <v>0</v>
      </c>
      <c r="AI198" s="60" t="n">
        <f aca="false">IF(OR($S198=0,Setup!$B$22=""),0,IF(OR($G198="",$G198="Everyone"),1,IF($G198="Custom",N(Y198),IF(OR($G198=Setup!$B$22,AND(Setup!$C$22&lt;&gt;"",$G198=Setup!$C$22)),1,0))))</f>
        <v>0</v>
      </c>
      <c r="AJ198" s="60" t="n">
        <f aca="false">IF(OR($S198=0,Setup!$B$23=""),0,IF(OR($G198="",$G198="Everyone"),1,IF($G198="Custom",N(Z198),IF(OR($G198=Setup!$B$23,AND(Setup!$C$23&lt;&gt;"",$G198=Setup!$C$23)),1,0))))</f>
        <v>0</v>
      </c>
      <c r="AK198" s="60" t="n">
        <f aca="false">IF(OR($S198=0,Setup!$B$24=""),0,IF(OR($G198="",$G198="Everyone"),1,IF($G198="Custom",N(AA198),IF(OR($G198=Setup!$B$24,AND(Setup!$C$24&lt;&gt;"",$G198=Setup!$C$24)),1,0))))</f>
        <v>0</v>
      </c>
      <c r="AL198" s="60" t="n">
        <f aca="false">IF(OR($S198=0,Setup!$B$25=""),0,IF(OR($G198="",$G198="Everyone"),1,IF($G198="Custom",N(AB198),IF(OR($G198=Setup!$B$25,AND(Setup!$C$25&lt;&gt;"",$G198=Setup!$C$25)),1,0))))</f>
        <v>0</v>
      </c>
      <c r="AM198" s="60" t="n">
        <f aca="false">IF(OR($S198=0,Setup!$B$26=""),0,IF(OR($G198="",$G198="Everyone"),1,IF($G198="Custom",N(AC198),IF(OR($G198=Setup!$B$26,AND(Setup!$C$26&lt;&gt;"",$G198=Setup!$C$26)),1,0))))</f>
        <v>0</v>
      </c>
      <c r="AN198" s="60" t="n">
        <f aca="false">IF(OR($S198=0,Setup!$B$27=""),0,IF(OR($G198="",$G198="Everyone"),1,IF($G198="Custom",N(AD198),IF(OR($G198=Setup!$B$27,AND(Setup!$C$27&lt;&gt;"",$G198=Setup!$C$27)),1,0))))</f>
        <v>0</v>
      </c>
      <c r="AO198" s="60" t="n">
        <f aca="false">IF(SUM(AE198:AN198)=0,1,SUM(AE198:AN198))</f>
        <v>1</v>
      </c>
      <c r="AP198" s="60" t="n">
        <f aca="false">IF(H198="Paid",1,0)</f>
        <v>0</v>
      </c>
      <c r="AQ198" s="60" t="n">
        <f aca="false">IF(AND(S198&gt;0,SUM(AE198:AN198)=0),S198,0)</f>
        <v>0</v>
      </c>
      <c r="AR198" s="60" t="str">
        <f aca="false">IF(AND(N198&lt;&gt;"",TodayDay&lt;&gt;"",N198=TodayDay),COUNTIF($N$6:N198,TodayDay),"")</f>
        <v/>
      </c>
      <c r="AS198" s="60" t="n">
        <f aca="false">IF(B198="",0,IF(COUNTIFS(Settings!$A$5:$A$29,B198,Settings!$B$5:$B$29,"Yes")&gt;0,1,0))</f>
        <v>0</v>
      </c>
      <c r="AT198" s="61" t="n">
        <f aca="false">IF(OR(N198="",TodayDay=""),IF(N198="",S198,0),IF(N198&lt;TodayDay,S198,0))</f>
        <v>0</v>
      </c>
    </row>
    <row r="199" customFormat="false" ht="15" hidden="false" customHeight="false" outlineLevel="0" collapsed="false">
      <c r="A199" s="23"/>
      <c r="B199" s="23"/>
      <c r="C199" s="23"/>
      <c r="D199" s="56"/>
      <c r="E199" s="23"/>
      <c r="F199" s="23"/>
      <c r="G199" s="23"/>
      <c r="H199" s="23"/>
      <c r="I199" s="56"/>
      <c r="J199" s="23"/>
      <c r="K199" s="28"/>
      <c r="L199" s="23"/>
      <c r="M199" s="23"/>
      <c r="N199" s="25" t="str">
        <f aca="false">IF(A199="","",IF(LEFT(A199,3)="Pre",0,IFERROR(VALUE(MID(A199,5,FIND(" ",A199&amp;" ",5)-5)),"")))</f>
        <v/>
      </c>
      <c r="O199" s="57" t="str">
        <f aca="false">IF(N199="","",IF(N199=0,"Before trip",IF(TripStart="","",TripStart+N199-1)))</f>
        <v/>
      </c>
      <c r="P199" s="58" t="str">
        <f aca="false">IF(AND(D199="",I199=""),"",IF(OR(E199="",E199=HomeCcy),1,IFERROR(INDEX(Setup!$J$26:$J$33,MATCH(E199,Setup!$G$26:$G$33,0)),IFERROR(INDEX(Settings!$S$5:$S$64,MATCH(E199,Settings!$R$5:$R$64,0))/HomeINR,1))))</f>
        <v/>
      </c>
      <c r="Q199" s="34" t="str">
        <f aca="false">IF(D199="","",D199*P199)</f>
        <v/>
      </c>
      <c r="R199" s="34" t="str">
        <f aca="false">IF(I199="","",I199*P199)</f>
        <v/>
      </c>
      <c r="S199" s="33" t="n">
        <f aca="false">IF(H199="Cancelled",0,IF(R199&lt;&gt;"",R199,IF(Q199&lt;&gt;"",Q199,0)))</f>
        <v>0</v>
      </c>
      <c r="T199" s="45" t="str">
        <f aca="false">IF(S199=0,"",IF(SUM(AE199:AN199)=0,"⚠ nobody picked",COUNTIF(AE199:AN199,"&gt;0")&amp;" people"))</f>
        <v/>
      </c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60" t="n">
        <f aca="false">IF(OR($S199=0,Setup!$B$18=""),0,IF(OR($G199="",$G199="Everyone"),1,IF($G199="Custom",N(U199),IF(OR($G199=Setup!$B$18,AND(Setup!$C$18&lt;&gt;"",$G199=Setup!$C$18)),1,0))))</f>
        <v>0</v>
      </c>
      <c r="AF199" s="60" t="n">
        <f aca="false">IF(OR($S199=0,Setup!$B$19=""),0,IF(OR($G199="",$G199="Everyone"),1,IF($G199="Custom",N(V199),IF(OR($G199=Setup!$B$19,AND(Setup!$C$19&lt;&gt;"",$G199=Setup!$C$19)),1,0))))</f>
        <v>0</v>
      </c>
      <c r="AG199" s="60" t="n">
        <f aca="false">IF(OR($S199=0,Setup!$B$20=""),0,IF(OR($G199="",$G199="Everyone"),1,IF($G199="Custom",N(W199),IF(OR($G199=Setup!$B$20,AND(Setup!$C$20&lt;&gt;"",$G199=Setup!$C$20)),1,0))))</f>
        <v>0</v>
      </c>
      <c r="AH199" s="60" t="n">
        <f aca="false">IF(OR($S199=0,Setup!$B$21=""),0,IF(OR($G199="",$G199="Everyone"),1,IF($G199="Custom",N(X199),IF(OR($G199=Setup!$B$21,AND(Setup!$C$21&lt;&gt;"",$G199=Setup!$C$21)),1,0))))</f>
        <v>0</v>
      </c>
      <c r="AI199" s="60" t="n">
        <f aca="false">IF(OR($S199=0,Setup!$B$22=""),0,IF(OR($G199="",$G199="Everyone"),1,IF($G199="Custom",N(Y199),IF(OR($G199=Setup!$B$22,AND(Setup!$C$22&lt;&gt;"",$G199=Setup!$C$22)),1,0))))</f>
        <v>0</v>
      </c>
      <c r="AJ199" s="60" t="n">
        <f aca="false">IF(OR($S199=0,Setup!$B$23=""),0,IF(OR($G199="",$G199="Everyone"),1,IF($G199="Custom",N(Z199),IF(OR($G199=Setup!$B$23,AND(Setup!$C$23&lt;&gt;"",$G199=Setup!$C$23)),1,0))))</f>
        <v>0</v>
      </c>
      <c r="AK199" s="60" t="n">
        <f aca="false">IF(OR($S199=0,Setup!$B$24=""),0,IF(OR($G199="",$G199="Everyone"),1,IF($G199="Custom",N(AA199),IF(OR($G199=Setup!$B$24,AND(Setup!$C$24&lt;&gt;"",$G199=Setup!$C$24)),1,0))))</f>
        <v>0</v>
      </c>
      <c r="AL199" s="60" t="n">
        <f aca="false">IF(OR($S199=0,Setup!$B$25=""),0,IF(OR($G199="",$G199="Everyone"),1,IF($G199="Custom",N(AB199),IF(OR($G199=Setup!$B$25,AND(Setup!$C$25&lt;&gt;"",$G199=Setup!$C$25)),1,0))))</f>
        <v>0</v>
      </c>
      <c r="AM199" s="60" t="n">
        <f aca="false">IF(OR($S199=0,Setup!$B$26=""),0,IF(OR($G199="",$G199="Everyone"),1,IF($G199="Custom",N(AC199),IF(OR($G199=Setup!$B$26,AND(Setup!$C$26&lt;&gt;"",$G199=Setup!$C$26)),1,0))))</f>
        <v>0</v>
      </c>
      <c r="AN199" s="60" t="n">
        <f aca="false">IF(OR($S199=0,Setup!$B$27=""),0,IF(OR($G199="",$G199="Everyone"),1,IF($G199="Custom",N(AD199),IF(OR($G199=Setup!$B$27,AND(Setup!$C$27&lt;&gt;"",$G199=Setup!$C$27)),1,0))))</f>
        <v>0</v>
      </c>
      <c r="AO199" s="60" t="n">
        <f aca="false">IF(SUM(AE199:AN199)=0,1,SUM(AE199:AN199))</f>
        <v>1</v>
      </c>
      <c r="AP199" s="60" t="n">
        <f aca="false">IF(H199="Paid",1,0)</f>
        <v>0</v>
      </c>
      <c r="AQ199" s="60" t="n">
        <f aca="false">IF(AND(S199&gt;0,SUM(AE199:AN199)=0),S199,0)</f>
        <v>0</v>
      </c>
      <c r="AR199" s="60" t="str">
        <f aca="false">IF(AND(N199&lt;&gt;"",TodayDay&lt;&gt;"",N199=TodayDay),COUNTIF($N$6:N199,TodayDay),"")</f>
        <v/>
      </c>
      <c r="AS199" s="60" t="n">
        <f aca="false">IF(B199="",0,IF(COUNTIFS(Settings!$A$5:$A$29,B199,Settings!$B$5:$B$29,"Yes")&gt;0,1,0))</f>
        <v>0</v>
      </c>
      <c r="AT199" s="61" t="n">
        <f aca="false">IF(OR(N199="",TodayDay=""),IF(N199="",S199,0),IF(N199&lt;TodayDay,S199,0))</f>
        <v>0</v>
      </c>
    </row>
    <row r="200" customFormat="false" ht="15" hidden="false" customHeight="false" outlineLevel="0" collapsed="false">
      <c r="A200" s="23"/>
      <c r="B200" s="23"/>
      <c r="C200" s="23"/>
      <c r="D200" s="56"/>
      <c r="E200" s="23"/>
      <c r="F200" s="23"/>
      <c r="G200" s="23"/>
      <c r="H200" s="23"/>
      <c r="I200" s="56"/>
      <c r="J200" s="23"/>
      <c r="K200" s="28"/>
      <c r="L200" s="23"/>
      <c r="M200" s="23"/>
      <c r="N200" s="25" t="str">
        <f aca="false">IF(A200="","",IF(LEFT(A200,3)="Pre",0,IFERROR(VALUE(MID(A200,5,FIND(" ",A200&amp;" ",5)-5)),"")))</f>
        <v/>
      </c>
      <c r="O200" s="57" t="str">
        <f aca="false">IF(N200="","",IF(N200=0,"Before trip",IF(TripStart="","",TripStart+N200-1)))</f>
        <v/>
      </c>
      <c r="P200" s="58" t="str">
        <f aca="false">IF(AND(D200="",I200=""),"",IF(OR(E200="",E200=HomeCcy),1,IFERROR(INDEX(Setup!$J$26:$J$33,MATCH(E200,Setup!$G$26:$G$33,0)),IFERROR(INDEX(Settings!$S$5:$S$64,MATCH(E200,Settings!$R$5:$R$64,0))/HomeINR,1))))</f>
        <v/>
      </c>
      <c r="Q200" s="34" t="str">
        <f aca="false">IF(D200="","",D200*P200)</f>
        <v/>
      </c>
      <c r="R200" s="34" t="str">
        <f aca="false">IF(I200="","",I200*P200)</f>
        <v/>
      </c>
      <c r="S200" s="33" t="n">
        <f aca="false">IF(H200="Cancelled",0,IF(R200&lt;&gt;"",R200,IF(Q200&lt;&gt;"",Q200,0)))</f>
        <v>0</v>
      </c>
      <c r="T200" s="45" t="str">
        <f aca="false">IF(S200=0,"",IF(SUM(AE200:AN200)=0,"⚠ nobody picked",COUNTIF(AE200:AN200,"&gt;0")&amp;" people"))</f>
        <v/>
      </c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60" t="n">
        <f aca="false">IF(OR($S200=0,Setup!$B$18=""),0,IF(OR($G200="",$G200="Everyone"),1,IF($G200="Custom",N(U200),IF(OR($G200=Setup!$B$18,AND(Setup!$C$18&lt;&gt;"",$G200=Setup!$C$18)),1,0))))</f>
        <v>0</v>
      </c>
      <c r="AF200" s="60" t="n">
        <f aca="false">IF(OR($S200=0,Setup!$B$19=""),0,IF(OR($G200="",$G200="Everyone"),1,IF($G200="Custom",N(V200),IF(OR($G200=Setup!$B$19,AND(Setup!$C$19&lt;&gt;"",$G200=Setup!$C$19)),1,0))))</f>
        <v>0</v>
      </c>
      <c r="AG200" s="60" t="n">
        <f aca="false">IF(OR($S200=0,Setup!$B$20=""),0,IF(OR($G200="",$G200="Everyone"),1,IF($G200="Custom",N(W200),IF(OR($G200=Setup!$B$20,AND(Setup!$C$20&lt;&gt;"",$G200=Setup!$C$20)),1,0))))</f>
        <v>0</v>
      </c>
      <c r="AH200" s="60" t="n">
        <f aca="false">IF(OR($S200=0,Setup!$B$21=""),0,IF(OR($G200="",$G200="Everyone"),1,IF($G200="Custom",N(X200),IF(OR($G200=Setup!$B$21,AND(Setup!$C$21&lt;&gt;"",$G200=Setup!$C$21)),1,0))))</f>
        <v>0</v>
      </c>
      <c r="AI200" s="60" t="n">
        <f aca="false">IF(OR($S200=0,Setup!$B$22=""),0,IF(OR($G200="",$G200="Everyone"),1,IF($G200="Custom",N(Y200),IF(OR($G200=Setup!$B$22,AND(Setup!$C$22&lt;&gt;"",$G200=Setup!$C$22)),1,0))))</f>
        <v>0</v>
      </c>
      <c r="AJ200" s="60" t="n">
        <f aca="false">IF(OR($S200=0,Setup!$B$23=""),0,IF(OR($G200="",$G200="Everyone"),1,IF($G200="Custom",N(Z200),IF(OR($G200=Setup!$B$23,AND(Setup!$C$23&lt;&gt;"",$G200=Setup!$C$23)),1,0))))</f>
        <v>0</v>
      </c>
      <c r="AK200" s="60" t="n">
        <f aca="false">IF(OR($S200=0,Setup!$B$24=""),0,IF(OR($G200="",$G200="Everyone"),1,IF($G200="Custom",N(AA200),IF(OR($G200=Setup!$B$24,AND(Setup!$C$24&lt;&gt;"",$G200=Setup!$C$24)),1,0))))</f>
        <v>0</v>
      </c>
      <c r="AL200" s="60" t="n">
        <f aca="false">IF(OR($S200=0,Setup!$B$25=""),0,IF(OR($G200="",$G200="Everyone"),1,IF($G200="Custom",N(AB200),IF(OR($G200=Setup!$B$25,AND(Setup!$C$25&lt;&gt;"",$G200=Setup!$C$25)),1,0))))</f>
        <v>0</v>
      </c>
      <c r="AM200" s="60" t="n">
        <f aca="false">IF(OR($S200=0,Setup!$B$26=""),0,IF(OR($G200="",$G200="Everyone"),1,IF($G200="Custom",N(AC200),IF(OR($G200=Setup!$B$26,AND(Setup!$C$26&lt;&gt;"",$G200=Setup!$C$26)),1,0))))</f>
        <v>0</v>
      </c>
      <c r="AN200" s="60" t="n">
        <f aca="false">IF(OR($S200=0,Setup!$B$27=""),0,IF(OR($G200="",$G200="Everyone"),1,IF($G200="Custom",N(AD200),IF(OR($G200=Setup!$B$27,AND(Setup!$C$27&lt;&gt;"",$G200=Setup!$C$27)),1,0))))</f>
        <v>0</v>
      </c>
      <c r="AO200" s="60" t="n">
        <f aca="false">IF(SUM(AE200:AN200)=0,1,SUM(AE200:AN200))</f>
        <v>1</v>
      </c>
      <c r="AP200" s="60" t="n">
        <f aca="false">IF(H200="Paid",1,0)</f>
        <v>0</v>
      </c>
      <c r="AQ200" s="60" t="n">
        <f aca="false">IF(AND(S200&gt;0,SUM(AE200:AN200)=0),S200,0)</f>
        <v>0</v>
      </c>
      <c r="AR200" s="60" t="str">
        <f aca="false">IF(AND(N200&lt;&gt;"",TodayDay&lt;&gt;"",N200=TodayDay),COUNTIF($N$6:N200,TodayDay),"")</f>
        <v/>
      </c>
      <c r="AS200" s="60" t="n">
        <f aca="false">IF(B200="",0,IF(COUNTIFS(Settings!$A$5:$A$29,B200,Settings!$B$5:$B$29,"Yes")&gt;0,1,0))</f>
        <v>0</v>
      </c>
      <c r="AT200" s="61" t="n">
        <f aca="false">IF(OR(N200="",TodayDay=""),IF(N200="",S200,0),IF(N200&lt;TodayDay,S200,0))</f>
        <v>0</v>
      </c>
    </row>
    <row r="201" customFormat="false" ht="15" hidden="false" customHeight="false" outlineLevel="0" collapsed="false">
      <c r="A201" s="23"/>
      <c r="B201" s="23"/>
      <c r="C201" s="23"/>
      <c r="D201" s="56"/>
      <c r="E201" s="23"/>
      <c r="F201" s="23"/>
      <c r="G201" s="23"/>
      <c r="H201" s="23"/>
      <c r="I201" s="56"/>
      <c r="J201" s="23"/>
      <c r="K201" s="28"/>
      <c r="L201" s="23"/>
      <c r="M201" s="23"/>
      <c r="N201" s="25" t="str">
        <f aca="false">IF(A201="","",IF(LEFT(A201,3)="Pre",0,IFERROR(VALUE(MID(A201,5,FIND(" ",A201&amp;" ",5)-5)),"")))</f>
        <v/>
      </c>
      <c r="O201" s="57" t="str">
        <f aca="false">IF(N201="","",IF(N201=0,"Before trip",IF(TripStart="","",TripStart+N201-1)))</f>
        <v/>
      </c>
      <c r="P201" s="58" t="str">
        <f aca="false">IF(AND(D201="",I201=""),"",IF(OR(E201="",E201=HomeCcy),1,IFERROR(INDEX(Setup!$J$26:$J$33,MATCH(E201,Setup!$G$26:$G$33,0)),IFERROR(INDEX(Settings!$S$5:$S$64,MATCH(E201,Settings!$R$5:$R$64,0))/HomeINR,1))))</f>
        <v/>
      </c>
      <c r="Q201" s="34" t="str">
        <f aca="false">IF(D201="","",D201*P201)</f>
        <v/>
      </c>
      <c r="R201" s="34" t="str">
        <f aca="false">IF(I201="","",I201*P201)</f>
        <v/>
      </c>
      <c r="S201" s="33" t="n">
        <f aca="false">IF(H201="Cancelled",0,IF(R201&lt;&gt;"",R201,IF(Q201&lt;&gt;"",Q201,0)))</f>
        <v>0</v>
      </c>
      <c r="T201" s="45" t="str">
        <f aca="false">IF(S201=0,"",IF(SUM(AE201:AN201)=0,"⚠ nobody picked",COUNTIF(AE201:AN201,"&gt;0")&amp;" people"))</f>
        <v/>
      </c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60" t="n">
        <f aca="false">IF(OR($S201=0,Setup!$B$18=""),0,IF(OR($G201="",$G201="Everyone"),1,IF($G201="Custom",N(U201),IF(OR($G201=Setup!$B$18,AND(Setup!$C$18&lt;&gt;"",$G201=Setup!$C$18)),1,0))))</f>
        <v>0</v>
      </c>
      <c r="AF201" s="60" t="n">
        <f aca="false">IF(OR($S201=0,Setup!$B$19=""),0,IF(OR($G201="",$G201="Everyone"),1,IF($G201="Custom",N(V201),IF(OR($G201=Setup!$B$19,AND(Setup!$C$19&lt;&gt;"",$G201=Setup!$C$19)),1,0))))</f>
        <v>0</v>
      </c>
      <c r="AG201" s="60" t="n">
        <f aca="false">IF(OR($S201=0,Setup!$B$20=""),0,IF(OR($G201="",$G201="Everyone"),1,IF($G201="Custom",N(W201),IF(OR($G201=Setup!$B$20,AND(Setup!$C$20&lt;&gt;"",$G201=Setup!$C$20)),1,0))))</f>
        <v>0</v>
      </c>
      <c r="AH201" s="60" t="n">
        <f aca="false">IF(OR($S201=0,Setup!$B$21=""),0,IF(OR($G201="",$G201="Everyone"),1,IF($G201="Custom",N(X201),IF(OR($G201=Setup!$B$21,AND(Setup!$C$21&lt;&gt;"",$G201=Setup!$C$21)),1,0))))</f>
        <v>0</v>
      </c>
      <c r="AI201" s="60" t="n">
        <f aca="false">IF(OR($S201=0,Setup!$B$22=""),0,IF(OR($G201="",$G201="Everyone"),1,IF($G201="Custom",N(Y201),IF(OR($G201=Setup!$B$22,AND(Setup!$C$22&lt;&gt;"",$G201=Setup!$C$22)),1,0))))</f>
        <v>0</v>
      </c>
      <c r="AJ201" s="60" t="n">
        <f aca="false">IF(OR($S201=0,Setup!$B$23=""),0,IF(OR($G201="",$G201="Everyone"),1,IF($G201="Custom",N(Z201),IF(OR($G201=Setup!$B$23,AND(Setup!$C$23&lt;&gt;"",$G201=Setup!$C$23)),1,0))))</f>
        <v>0</v>
      </c>
      <c r="AK201" s="60" t="n">
        <f aca="false">IF(OR($S201=0,Setup!$B$24=""),0,IF(OR($G201="",$G201="Everyone"),1,IF($G201="Custom",N(AA201),IF(OR($G201=Setup!$B$24,AND(Setup!$C$24&lt;&gt;"",$G201=Setup!$C$24)),1,0))))</f>
        <v>0</v>
      </c>
      <c r="AL201" s="60" t="n">
        <f aca="false">IF(OR($S201=0,Setup!$B$25=""),0,IF(OR($G201="",$G201="Everyone"),1,IF($G201="Custom",N(AB201),IF(OR($G201=Setup!$B$25,AND(Setup!$C$25&lt;&gt;"",$G201=Setup!$C$25)),1,0))))</f>
        <v>0</v>
      </c>
      <c r="AM201" s="60" t="n">
        <f aca="false">IF(OR($S201=0,Setup!$B$26=""),0,IF(OR($G201="",$G201="Everyone"),1,IF($G201="Custom",N(AC201),IF(OR($G201=Setup!$B$26,AND(Setup!$C$26&lt;&gt;"",$G201=Setup!$C$26)),1,0))))</f>
        <v>0</v>
      </c>
      <c r="AN201" s="60" t="n">
        <f aca="false">IF(OR($S201=0,Setup!$B$27=""),0,IF(OR($G201="",$G201="Everyone"),1,IF($G201="Custom",N(AD201),IF(OR($G201=Setup!$B$27,AND(Setup!$C$27&lt;&gt;"",$G201=Setup!$C$27)),1,0))))</f>
        <v>0</v>
      </c>
      <c r="AO201" s="60" t="n">
        <f aca="false">IF(SUM(AE201:AN201)=0,1,SUM(AE201:AN201))</f>
        <v>1</v>
      </c>
      <c r="AP201" s="60" t="n">
        <f aca="false">IF(H201="Paid",1,0)</f>
        <v>0</v>
      </c>
      <c r="AQ201" s="60" t="n">
        <f aca="false">IF(AND(S201&gt;0,SUM(AE201:AN201)=0),S201,0)</f>
        <v>0</v>
      </c>
      <c r="AR201" s="60" t="str">
        <f aca="false">IF(AND(N201&lt;&gt;"",TodayDay&lt;&gt;"",N201=TodayDay),COUNTIF($N$6:N201,TodayDay),"")</f>
        <v/>
      </c>
      <c r="AS201" s="60" t="n">
        <f aca="false">IF(B201="",0,IF(COUNTIFS(Settings!$A$5:$A$29,B201,Settings!$B$5:$B$29,"Yes")&gt;0,1,0))</f>
        <v>0</v>
      </c>
      <c r="AT201" s="61" t="n">
        <f aca="false">IF(OR(N201="",TodayDay=""),IF(N201="",S201,0),IF(N201&lt;TodayDay,S201,0))</f>
        <v>0</v>
      </c>
    </row>
    <row r="202" customFormat="false" ht="15" hidden="false" customHeight="false" outlineLevel="0" collapsed="false">
      <c r="A202" s="23"/>
      <c r="B202" s="23"/>
      <c r="C202" s="23"/>
      <c r="D202" s="56"/>
      <c r="E202" s="23"/>
      <c r="F202" s="23"/>
      <c r="G202" s="23"/>
      <c r="H202" s="23"/>
      <c r="I202" s="56"/>
      <c r="J202" s="23"/>
      <c r="K202" s="28"/>
      <c r="L202" s="23"/>
      <c r="M202" s="23"/>
      <c r="N202" s="25" t="str">
        <f aca="false">IF(A202="","",IF(LEFT(A202,3)="Pre",0,IFERROR(VALUE(MID(A202,5,FIND(" ",A202&amp;" ",5)-5)),"")))</f>
        <v/>
      </c>
      <c r="O202" s="57" t="str">
        <f aca="false">IF(N202="","",IF(N202=0,"Before trip",IF(TripStart="","",TripStart+N202-1)))</f>
        <v/>
      </c>
      <c r="P202" s="58" t="str">
        <f aca="false">IF(AND(D202="",I202=""),"",IF(OR(E202="",E202=HomeCcy),1,IFERROR(INDEX(Setup!$J$26:$J$33,MATCH(E202,Setup!$G$26:$G$33,0)),IFERROR(INDEX(Settings!$S$5:$S$64,MATCH(E202,Settings!$R$5:$R$64,0))/HomeINR,1))))</f>
        <v/>
      </c>
      <c r="Q202" s="34" t="str">
        <f aca="false">IF(D202="","",D202*P202)</f>
        <v/>
      </c>
      <c r="R202" s="34" t="str">
        <f aca="false">IF(I202="","",I202*P202)</f>
        <v/>
      </c>
      <c r="S202" s="33" t="n">
        <f aca="false">IF(H202="Cancelled",0,IF(R202&lt;&gt;"",R202,IF(Q202&lt;&gt;"",Q202,0)))</f>
        <v>0</v>
      </c>
      <c r="T202" s="45" t="str">
        <f aca="false">IF(S202=0,"",IF(SUM(AE202:AN202)=0,"⚠ nobody picked",COUNTIF(AE202:AN202,"&gt;0")&amp;" people"))</f>
        <v/>
      </c>
      <c r="U202" s="59"/>
      <c r="V202" s="59"/>
      <c r="W202" s="59"/>
      <c r="X202" s="59"/>
      <c r="Y202" s="59"/>
      <c r="Z202" s="59"/>
      <c r="AA202" s="59"/>
      <c r="AB202" s="59"/>
      <c r="AC202" s="59"/>
      <c r="AD202" s="59"/>
      <c r="AE202" s="60" t="n">
        <f aca="false">IF(OR($S202=0,Setup!$B$18=""),0,IF(OR($G202="",$G202="Everyone"),1,IF($G202="Custom",N(U202),IF(OR($G202=Setup!$B$18,AND(Setup!$C$18&lt;&gt;"",$G202=Setup!$C$18)),1,0))))</f>
        <v>0</v>
      </c>
      <c r="AF202" s="60" t="n">
        <f aca="false">IF(OR($S202=0,Setup!$B$19=""),0,IF(OR($G202="",$G202="Everyone"),1,IF($G202="Custom",N(V202),IF(OR($G202=Setup!$B$19,AND(Setup!$C$19&lt;&gt;"",$G202=Setup!$C$19)),1,0))))</f>
        <v>0</v>
      </c>
      <c r="AG202" s="60" t="n">
        <f aca="false">IF(OR($S202=0,Setup!$B$20=""),0,IF(OR($G202="",$G202="Everyone"),1,IF($G202="Custom",N(W202),IF(OR($G202=Setup!$B$20,AND(Setup!$C$20&lt;&gt;"",$G202=Setup!$C$20)),1,0))))</f>
        <v>0</v>
      </c>
      <c r="AH202" s="60" t="n">
        <f aca="false">IF(OR($S202=0,Setup!$B$21=""),0,IF(OR($G202="",$G202="Everyone"),1,IF($G202="Custom",N(X202),IF(OR($G202=Setup!$B$21,AND(Setup!$C$21&lt;&gt;"",$G202=Setup!$C$21)),1,0))))</f>
        <v>0</v>
      </c>
      <c r="AI202" s="60" t="n">
        <f aca="false">IF(OR($S202=0,Setup!$B$22=""),0,IF(OR($G202="",$G202="Everyone"),1,IF($G202="Custom",N(Y202),IF(OR($G202=Setup!$B$22,AND(Setup!$C$22&lt;&gt;"",$G202=Setup!$C$22)),1,0))))</f>
        <v>0</v>
      </c>
      <c r="AJ202" s="60" t="n">
        <f aca="false">IF(OR($S202=0,Setup!$B$23=""),0,IF(OR($G202="",$G202="Everyone"),1,IF($G202="Custom",N(Z202),IF(OR($G202=Setup!$B$23,AND(Setup!$C$23&lt;&gt;"",$G202=Setup!$C$23)),1,0))))</f>
        <v>0</v>
      </c>
      <c r="AK202" s="60" t="n">
        <f aca="false">IF(OR($S202=0,Setup!$B$24=""),0,IF(OR($G202="",$G202="Everyone"),1,IF($G202="Custom",N(AA202),IF(OR($G202=Setup!$B$24,AND(Setup!$C$24&lt;&gt;"",$G202=Setup!$C$24)),1,0))))</f>
        <v>0</v>
      </c>
      <c r="AL202" s="60" t="n">
        <f aca="false">IF(OR($S202=0,Setup!$B$25=""),0,IF(OR($G202="",$G202="Everyone"),1,IF($G202="Custom",N(AB202),IF(OR($G202=Setup!$B$25,AND(Setup!$C$25&lt;&gt;"",$G202=Setup!$C$25)),1,0))))</f>
        <v>0</v>
      </c>
      <c r="AM202" s="60" t="n">
        <f aca="false">IF(OR($S202=0,Setup!$B$26=""),0,IF(OR($G202="",$G202="Everyone"),1,IF($G202="Custom",N(AC202),IF(OR($G202=Setup!$B$26,AND(Setup!$C$26&lt;&gt;"",$G202=Setup!$C$26)),1,0))))</f>
        <v>0</v>
      </c>
      <c r="AN202" s="60" t="n">
        <f aca="false">IF(OR($S202=0,Setup!$B$27=""),0,IF(OR($G202="",$G202="Everyone"),1,IF($G202="Custom",N(AD202),IF(OR($G202=Setup!$B$27,AND(Setup!$C$27&lt;&gt;"",$G202=Setup!$C$27)),1,0))))</f>
        <v>0</v>
      </c>
      <c r="AO202" s="60" t="n">
        <f aca="false">IF(SUM(AE202:AN202)=0,1,SUM(AE202:AN202))</f>
        <v>1</v>
      </c>
      <c r="AP202" s="60" t="n">
        <f aca="false">IF(H202="Paid",1,0)</f>
        <v>0</v>
      </c>
      <c r="AQ202" s="60" t="n">
        <f aca="false">IF(AND(S202&gt;0,SUM(AE202:AN202)=0),S202,0)</f>
        <v>0</v>
      </c>
      <c r="AR202" s="60" t="str">
        <f aca="false">IF(AND(N202&lt;&gt;"",TodayDay&lt;&gt;"",N202=TodayDay),COUNTIF($N$6:N202,TodayDay),"")</f>
        <v/>
      </c>
      <c r="AS202" s="60" t="n">
        <f aca="false">IF(B202="",0,IF(COUNTIFS(Settings!$A$5:$A$29,B202,Settings!$B$5:$B$29,"Yes")&gt;0,1,0))</f>
        <v>0</v>
      </c>
      <c r="AT202" s="61" t="n">
        <f aca="false">IF(OR(N202="",TodayDay=""),IF(N202="",S202,0),IF(N202&lt;TodayDay,S202,0))</f>
        <v>0</v>
      </c>
    </row>
    <row r="203" customFormat="false" ht="15" hidden="false" customHeight="false" outlineLevel="0" collapsed="false">
      <c r="A203" s="23"/>
      <c r="B203" s="23"/>
      <c r="C203" s="23"/>
      <c r="D203" s="56"/>
      <c r="E203" s="23"/>
      <c r="F203" s="23"/>
      <c r="G203" s="23"/>
      <c r="H203" s="23"/>
      <c r="I203" s="56"/>
      <c r="J203" s="23"/>
      <c r="K203" s="28"/>
      <c r="L203" s="23"/>
      <c r="M203" s="23"/>
      <c r="N203" s="25" t="str">
        <f aca="false">IF(A203="","",IF(LEFT(A203,3)="Pre",0,IFERROR(VALUE(MID(A203,5,FIND(" ",A203&amp;" ",5)-5)),"")))</f>
        <v/>
      </c>
      <c r="O203" s="57" t="str">
        <f aca="false">IF(N203="","",IF(N203=0,"Before trip",IF(TripStart="","",TripStart+N203-1)))</f>
        <v/>
      </c>
      <c r="P203" s="58" t="str">
        <f aca="false">IF(AND(D203="",I203=""),"",IF(OR(E203="",E203=HomeCcy),1,IFERROR(INDEX(Setup!$J$26:$J$33,MATCH(E203,Setup!$G$26:$G$33,0)),IFERROR(INDEX(Settings!$S$5:$S$64,MATCH(E203,Settings!$R$5:$R$64,0))/HomeINR,1))))</f>
        <v/>
      </c>
      <c r="Q203" s="34" t="str">
        <f aca="false">IF(D203="","",D203*P203)</f>
        <v/>
      </c>
      <c r="R203" s="34" t="str">
        <f aca="false">IF(I203="","",I203*P203)</f>
        <v/>
      </c>
      <c r="S203" s="33" t="n">
        <f aca="false">IF(H203="Cancelled",0,IF(R203&lt;&gt;"",R203,IF(Q203&lt;&gt;"",Q203,0)))</f>
        <v>0</v>
      </c>
      <c r="T203" s="45" t="str">
        <f aca="false">IF(S203=0,"",IF(SUM(AE203:AN203)=0,"⚠ nobody picked",COUNTIF(AE203:AN203,"&gt;0")&amp;" people"))</f>
        <v/>
      </c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60" t="n">
        <f aca="false">IF(OR($S203=0,Setup!$B$18=""),0,IF(OR($G203="",$G203="Everyone"),1,IF($G203="Custom",N(U203),IF(OR($G203=Setup!$B$18,AND(Setup!$C$18&lt;&gt;"",$G203=Setup!$C$18)),1,0))))</f>
        <v>0</v>
      </c>
      <c r="AF203" s="60" t="n">
        <f aca="false">IF(OR($S203=0,Setup!$B$19=""),0,IF(OR($G203="",$G203="Everyone"),1,IF($G203="Custom",N(V203),IF(OR($G203=Setup!$B$19,AND(Setup!$C$19&lt;&gt;"",$G203=Setup!$C$19)),1,0))))</f>
        <v>0</v>
      </c>
      <c r="AG203" s="60" t="n">
        <f aca="false">IF(OR($S203=0,Setup!$B$20=""),0,IF(OR($G203="",$G203="Everyone"),1,IF($G203="Custom",N(W203),IF(OR($G203=Setup!$B$20,AND(Setup!$C$20&lt;&gt;"",$G203=Setup!$C$20)),1,0))))</f>
        <v>0</v>
      </c>
      <c r="AH203" s="60" t="n">
        <f aca="false">IF(OR($S203=0,Setup!$B$21=""),0,IF(OR($G203="",$G203="Everyone"),1,IF($G203="Custom",N(X203),IF(OR($G203=Setup!$B$21,AND(Setup!$C$21&lt;&gt;"",$G203=Setup!$C$21)),1,0))))</f>
        <v>0</v>
      </c>
      <c r="AI203" s="60" t="n">
        <f aca="false">IF(OR($S203=0,Setup!$B$22=""),0,IF(OR($G203="",$G203="Everyone"),1,IF($G203="Custom",N(Y203),IF(OR($G203=Setup!$B$22,AND(Setup!$C$22&lt;&gt;"",$G203=Setup!$C$22)),1,0))))</f>
        <v>0</v>
      </c>
      <c r="AJ203" s="60" t="n">
        <f aca="false">IF(OR($S203=0,Setup!$B$23=""),0,IF(OR($G203="",$G203="Everyone"),1,IF($G203="Custom",N(Z203),IF(OR($G203=Setup!$B$23,AND(Setup!$C$23&lt;&gt;"",$G203=Setup!$C$23)),1,0))))</f>
        <v>0</v>
      </c>
      <c r="AK203" s="60" t="n">
        <f aca="false">IF(OR($S203=0,Setup!$B$24=""),0,IF(OR($G203="",$G203="Everyone"),1,IF($G203="Custom",N(AA203),IF(OR($G203=Setup!$B$24,AND(Setup!$C$24&lt;&gt;"",$G203=Setup!$C$24)),1,0))))</f>
        <v>0</v>
      </c>
      <c r="AL203" s="60" t="n">
        <f aca="false">IF(OR($S203=0,Setup!$B$25=""),0,IF(OR($G203="",$G203="Everyone"),1,IF($G203="Custom",N(AB203),IF(OR($G203=Setup!$B$25,AND(Setup!$C$25&lt;&gt;"",$G203=Setup!$C$25)),1,0))))</f>
        <v>0</v>
      </c>
      <c r="AM203" s="60" t="n">
        <f aca="false">IF(OR($S203=0,Setup!$B$26=""),0,IF(OR($G203="",$G203="Everyone"),1,IF($G203="Custom",N(AC203),IF(OR($G203=Setup!$B$26,AND(Setup!$C$26&lt;&gt;"",$G203=Setup!$C$26)),1,0))))</f>
        <v>0</v>
      </c>
      <c r="AN203" s="60" t="n">
        <f aca="false">IF(OR($S203=0,Setup!$B$27=""),0,IF(OR($G203="",$G203="Everyone"),1,IF($G203="Custom",N(AD203),IF(OR($G203=Setup!$B$27,AND(Setup!$C$27&lt;&gt;"",$G203=Setup!$C$27)),1,0))))</f>
        <v>0</v>
      </c>
      <c r="AO203" s="60" t="n">
        <f aca="false">IF(SUM(AE203:AN203)=0,1,SUM(AE203:AN203))</f>
        <v>1</v>
      </c>
      <c r="AP203" s="60" t="n">
        <f aca="false">IF(H203="Paid",1,0)</f>
        <v>0</v>
      </c>
      <c r="AQ203" s="60" t="n">
        <f aca="false">IF(AND(S203&gt;0,SUM(AE203:AN203)=0),S203,0)</f>
        <v>0</v>
      </c>
      <c r="AR203" s="60" t="str">
        <f aca="false">IF(AND(N203&lt;&gt;"",TodayDay&lt;&gt;"",N203=TodayDay),COUNTIF($N$6:N203,TodayDay),"")</f>
        <v/>
      </c>
      <c r="AS203" s="60" t="n">
        <f aca="false">IF(B203="",0,IF(COUNTIFS(Settings!$A$5:$A$29,B203,Settings!$B$5:$B$29,"Yes")&gt;0,1,0))</f>
        <v>0</v>
      </c>
      <c r="AT203" s="61" t="n">
        <f aca="false">IF(OR(N203="",TodayDay=""),IF(N203="",S203,0),IF(N203&lt;TodayDay,S203,0))</f>
        <v>0</v>
      </c>
    </row>
    <row r="204" customFormat="false" ht="15" hidden="false" customHeight="false" outlineLevel="0" collapsed="false">
      <c r="A204" s="23"/>
      <c r="B204" s="23"/>
      <c r="C204" s="23"/>
      <c r="D204" s="56"/>
      <c r="E204" s="23"/>
      <c r="F204" s="23"/>
      <c r="G204" s="23"/>
      <c r="H204" s="23"/>
      <c r="I204" s="56"/>
      <c r="J204" s="23"/>
      <c r="K204" s="28"/>
      <c r="L204" s="23"/>
      <c r="M204" s="23"/>
      <c r="N204" s="25" t="str">
        <f aca="false">IF(A204="","",IF(LEFT(A204,3)="Pre",0,IFERROR(VALUE(MID(A204,5,FIND(" ",A204&amp;" ",5)-5)),"")))</f>
        <v/>
      </c>
      <c r="O204" s="57" t="str">
        <f aca="false">IF(N204="","",IF(N204=0,"Before trip",IF(TripStart="","",TripStart+N204-1)))</f>
        <v/>
      </c>
      <c r="P204" s="58" t="str">
        <f aca="false">IF(AND(D204="",I204=""),"",IF(OR(E204="",E204=HomeCcy),1,IFERROR(INDEX(Setup!$J$26:$J$33,MATCH(E204,Setup!$G$26:$G$33,0)),IFERROR(INDEX(Settings!$S$5:$S$64,MATCH(E204,Settings!$R$5:$R$64,0))/HomeINR,1))))</f>
        <v/>
      </c>
      <c r="Q204" s="34" t="str">
        <f aca="false">IF(D204="","",D204*P204)</f>
        <v/>
      </c>
      <c r="R204" s="34" t="str">
        <f aca="false">IF(I204="","",I204*P204)</f>
        <v/>
      </c>
      <c r="S204" s="33" t="n">
        <f aca="false">IF(H204="Cancelled",0,IF(R204&lt;&gt;"",R204,IF(Q204&lt;&gt;"",Q204,0)))</f>
        <v>0</v>
      </c>
      <c r="T204" s="45" t="str">
        <f aca="false">IF(S204=0,"",IF(SUM(AE204:AN204)=0,"⚠ nobody picked",COUNTIF(AE204:AN204,"&gt;0")&amp;" people"))</f>
        <v/>
      </c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60" t="n">
        <f aca="false">IF(OR($S204=0,Setup!$B$18=""),0,IF(OR($G204="",$G204="Everyone"),1,IF($G204="Custom",N(U204),IF(OR($G204=Setup!$B$18,AND(Setup!$C$18&lt;&gt;"",$G204=Setup!$C$18)),1,0))))</f>
        <v>0</v>
      </c>
      <c r="AF204" s="60" t="n">
        <f aca="false">IF(OR($S204=0,Setup!$B$19=""),0,IF(OR($G204="",$G204="Everyone"),1,IF($G204="Custom",N(V204),IF(OR($G204=Setup!$B$19,AND(Setup!$C$19&lt;&gt;"",$G204=Setup!$C$19)),1,0))))</f>
        <v>0</v>
      </c>
      <c r="AG204" s="60" t="n">
        <f aca="false">IF(OR($S204=0,Setup!$B$20=""),0,IF(OR($G204="",$G204="Everyone"),1,IF($G204="Custom",N(W204),IF(OR($G204=Setup!$B$20,AND(Setup!$C$20&lt;&gt;"",$G204=Setup!$C$20)),1,0))))</f>
        <v>0</v>
      </c>
      <c r="AH204" s="60" t="n">
        <f aca="false">IF(OR($S204=0,Setup!$B$21=""),0,IF(OR($G204="",$G204="Everyone"),1,IF($G204="Custom",N(X204),IF(OR($G204=Setup!$B$21,AND(Setup!$C$21&lt;&gt;"",$G204=Setup!$C$21)),1,0))))</f>
        <v>0</v>
      </c>
      <c r="AI204" s="60" t="n">
        <f aca="false">IF(OR($S204=0,Setup!$B$22=""),0,IF(OR($G204="",$G204="Everyone"),1,IF($G204="Custom",N(Y204),IF(OR($G204=Setup!$B$22,AND(Setup!$C$22&lt;&gt;"",$G204=Setup!$C$22)),1,0))))</f>
        <v>0</v>
      </c>
      <c r="AJ204" s="60" t="n">
        <f aca="false">IF(OR($S204=0,Setup!$B$23=""),0,IF(OR($G204="",$G204="Everyone"),1,IF($G204="Custom",N(Z204),IF(OR($G204=Setup!$B$23,AND(Setup!$C$23&lt;&gt;"",$G204=Setup!$C$23)),1,0))))</f>
        <v>0</v>
      </c>
      <c r="AK204" s="60" t="n">
        <f aca="false">IF(OR($S204=0,Setup!$B$24=""),0,IF(OR($G204="",$G204="Everyone"),1,IF($G204="Custom",N(AA204),IF(OR($G204=Setup!$B$24,AND(Setup!$C$24&lt;&gt;"",$G204=Setup!$C$24)),1,0))))</f>
        <v>0</v>
      </c>
      <c r="AL204" s="60" t="n">
        <f aca="false">IF(OR($S204=0,Setup!$B$25=""),0,IF(OR($G204="",$G204="Everyone"),1,IF($G204="Custom",N(AB204),IF(OR($G204=Setup!$B$25,AND(Setup!$C$25&lt;&gt;"",$G204=Setup!$C$25)),1,0))))</f>
        <v>0</v>
      </c>
      <c r="AM204" s="60" t="n">
        <f aca="false">IF(OR($S204=0,Setup!$B$26=""),0,IF(OR($G204="",$G204="Everyone"),1,IF($G204="Custom",N(AC204),IF(OR($G204=Setup!$B$26,AND(Setup!$C$26&lt;&gt;"",$G204=Setup!$C$26)),1,0))))</f>
        <v>0</v>
      </c>
      <c r="AN204" s="60" t="n">
        <f aca="false">IF(OR($S204=0,Setup!$B$27=""),0,IF(OR($G204="",$G204="Everyone"),1,IF($G204="Custom",N(AD204),IF(OR($G204=Setup!$B$27,AND(Setup!$C$27&lt;&gt;"",$G204=Setup!$C$27)),1,0))))</f>
        <v>0</v>
      </c>
      <c r="AO204" s="60" t="n">
        <f aca="false">IF(SUM(AE204:AN204)=0,1,SUM(AE204:AN204))</f>
        <v>1</v>
      </c>
      <c r="AP204" s="60" t="n">
        <f aca="false">IF(H204="Paid",1,0)</f>
        <v>0</v>
      </c>
      <c r="AQ204" s="60" t="n">
        <f aca="false">IF(AND(S204&gt;0,SUM(AE204:AN204)=0),S204,0)</f>
        <v>0</v>
      </c>
      <c r="AR204" s="60" t="str">
        <f aca="false">IF(AND(N204&lt;&gt;"",TodayDay&lt;&gt;"",N204=TodayDay),COUNTIF($N$6:N204,TodayDay),"")</f>
        <v/>
      </c>
      <c r="AS204" s="60" t="n">
        <f aca="false">IF(B204="",0,IF(COUNTIFS(Settings!$A$5:$A$29,B204,Settings!$B$5:$B$29,"Yes")&gt;0,1,0))</f>
        <v>0</v>
      </c>
      <c r="AT204" s="61" t="n">
        <f aca="false">IF(OR(N204="",TodayDay=""),IF(N204="",S204,0),IF(N204&lt;TodayDay,S204,0))</f>
        <v>0</v>
      </c>
    </row>
    <row r="205" customFormat="false" ht="15" hidden="false" customHeight="false" outlineLevel="0" collapsed="false">
      <c r="A205" s="23"/>
      <c r="B205" s="23"/>
      <c r="C205" s="23"/>
      <c r="D205" s="56"/>
      <c r="E205" s="23"/>
      <c r="F205" s="23"/>
      <c r="G205" s="23"/>
      <c r="H205" s="23"/>
      <c r="I205" s="56"/>
      <c r="J205" s="23"/>
      <c r="K205" s="28"/>
      <c r="L205" s="23"/>
      <c r="M205" s="23"/>
      <c r="N205" s="25" t="str">
        <f aca="false">IF(A205="","",IF(LEFT(A205,3)="Pre",0,IFERROR(VALUE(MID(A205,5,FIND(" ",A205&amp;" ",5)-5)),"")))</f>
        <v/>
      </c>
      <c r="O205" s="57" t="str">
        <f aca="false">IF(N205="","",IF(N205=0,"Before trip",IF(TripStart="","",TripStart+N205-1)))</f>
        <v/>
      </c>
      <c r="P205" s="58" t="str">
        <f aca="false">IF(AND(D205="",I205=""),"",IF(OR(E205="",E205=HomeCcy),1,IFERROR(INDEX(Setup!$J$26:$J$33,MATCH(E205,Setup!$G$26:$G$33,0)),IFERROR(INDEX(Settings!$S$5:$S$64,MATCH(E205,Settings!$R$5:$R$64,0))/HomeINR,1))))</f>
        <v/>
      </c>
      <c r="Q205" s="34" t="str">
        <f aca="false">IF(D205="","",D205*P205)</f>
        <v/>
      </c>
      <c r="R205" s="34" t="str">
        <f aca="false">IF(I205="","",I205*P205)</f>
        <v/>
      </c>
      <c r="S205" s="33" t="n">
        <f aca="false">IF(H205="Cancelled",0,IF(R205&lt;&gt;"",R205,IF(Q205&lt;&gt;"",Q205,0)))</f>
        <v>0</v>
      </c>
      <c r="T205" s="45" t="str">
        <f aca="false">IF(S205=0,"",IF(SUM(AE205:AN205)=0,"⚠ nobody picked",COUNTIF(AE205:AN205,"&gt;0")&amp;" people"))</f>
        <v/>
      </c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60" t="n">
        <f aca="false">IF(OR($S205=0,Setup!$B$18=""),0,IF(OR($G205="",$G205="Everyone"),1,IF($G205="Custom",N(U205),IF(OR($G205=Setup!$B$18,AND(Setup!$C$18&lt;&gt;"",$G205=Setup!$C$18)),1,0))))</f>
        <v>0</v>
      </c>
      <c r="AF205" s="60" t="n">
        <f aca="false">IF(OR($S205=0,Setup!$B$19=""),0,IF(OR($G205="",$G205="Everyone"),1,IF($G205="Custom",N(V205),IF(OR($G205=Setup!$B$19,AND(Setup!$C$19&lt;&gt;"",$G205=Setup!$C$19)),1,0))))</f>
        <v>0</v>
      </c>
      <c r="AG205" s="60" t="n">
        <f aca="false">IF(OR($S205=0,Setup!$B$20=""),0,IF(OR($G205="",$G205="Everyone"),1,IF($G205="Custom",N(W205),IF(OR($G205=Setup!$B$20,AND(Setup!$C$20&lt;&gt;"",$G205=Setup!$C$20)),1,0))))</f>
        <v>0</v>
      </c>
      <c r="AH205" s="60" t="n">
        <f aca="false">IF(OR($S205=0,Setup!$B$21=""),0,IF(OR($G205="",$G205="Everyone"),1,IF($G205="Custom",N(X205),IF(OR($G205=Setup!$B$21,AND(Setup!$C$21&lt;&gt;"",$G205=Setup!$C$21)),1,0))))</f>
        <v>0</v>
      </c>
      <c r="AI205" s="60" t="n">
        <f aca="false">IF(OR($S205=0,Setup!$B$22=""),0,IF(OR($G205="",$G205="Everyone"),1,IF($G205="Custom",N(Y205),IF(OR($G205=Setup!$B$22,AND(Setup!$C$22&lt;&gt;"",$G205=Setup!$C$22)),1,0))))</f>
        <v>0</v>
      </c>
      <c r="AJ205" s="60" t="n">
        <f aca="false">IF(OR($S205=0,Setup!$B$23=""),0,IF(OR($G205="",$G205="Everyone"),1,IF($G205="Custom",N(Z205),IF(OR($G205=Setup!$B$23,AND(Setup!$C$23&lt;&gt;"",$G205=Setup!$C$23)),1,0))))</f>
        <v>0</v>
      </c>
      <c r="AK205" s="60" t="n">
        <f aca="false">IF(OR($S205=0,Setup!$B$24=""),0,IF(OR($G205="",$G205="Everyone"),1,IF($G205="Custom",N(AA205),IF(OR($G205=Setup!$B$24,AND(Setup!$C$24&lt;&gt;"",$G205=Setup!$C$24)),1,0))))</f>
        <v>0</v>
      </c>
      <c r="AL205" s="60" t="n">
        <f aca="false">IF(OR($S205=0,Setup!$B$25=""),0,IF(OR($G205="",$G205="Everyone"),1,IF($G205="Custom",N(AB205),IF(OR($G205=Setup!$B$25,AND(Setup!$C$25&lt;&gt;"",$G205=Setup!$C$25)),1,0))))</f>
        <v>0</v>
      </c>
      <c r="AM205" s="60" t="n">
        <f aca="false">IF(OR($S205=0,Setup!$B$26=""),0,IF(OR($G205="",$G205="Everyone"),1,IF($G205="Custom",N(AC205),IF(OR($G205=Setup!$B$26,AND(Setup!$C$26&lt;&gt;"",$G205=Setup!$C$26)),1,0))))</f>
        <v>0</v>
      </c>
      <c r="AN205" s="60" t="n">
        <f aca="false">IF(OR($S205=0,Setup!$B$27=""),0,IF(OR($G205="",$G205="Everyone"),1,IF($G205="Custom",N(AD205),IF(OR($G205=Setup!$B$27,AND(Setup!$C$27&lt;&gt;"",$G205=Setup!$C$27)),1,0))))</f>
        <v>0</v>
      </c>
      <c r="AO205" s="60" t="n">
        <f aca="false">IF(SUM(AE205:AN205)=0,1,SUM(AE205:AN205))</f>
        <v>1</v>
      </c>
      <c r="AP205" s="60" t="n">
        <f aca="false">IF(H205="Paid",1,0)</f>
        <v>0</v>
      </c>
      <c r="AQ205" s="60" t="n">
        <f aca="false">IF(AND(S205&gt;0,SUM(AE205:AN205)=0),S205,0)</f>
        <v>0</v>
      </c>
      <c r="AR205" s="60" t="str">
        <f aca="false">IF(AND(N205&lt;&gt;"",TodayDay&lt;&gt;"",N205=TodayDay),COUNTIF($N$6:N205,TodayDay),"")</f>
        <v/>
      </c>
      <c r="AS205" s="60" t="n">
        <f aca="false">IF(B205="",0,IF(COUNTIFS(Settings!$A$5:$A$29,B205,Settings!$B$5:$B$29,"Yes")&gt;0,1,0))</f>
        <v>0</v>
      </c>
      <c r="AT205" s="61" t="n">
        <f aca="false">IF(OR(N205="",TodayDay=""),IF(N205="",S205,0),IF(N205&lt;TodayDay,S205,0))</f>
        <v>0</v>
      </c>
    </row>
  </sheetData>
  <sheetProtection sheet="true" password="ecf5" formatRows="false"/>
  <mergeCells count="4">
    <mergeCell ref="A4:H4"/>
    <mergeCell ref="I4:M4"/>
    <mergeCell ref="N4:T4"/>
    <mergeCell ref="U4:AD4"/>
  </mergeCells>
  <conditionalFormatting sqref="A6:M205">
    <cfRule type="expression" priority="2" aboveAverage="0" equalAverage="0" bottom="0" percent="0" rank="0" text="" dxfId="0">
      <formula>$H6="Cancelled"</formula>
    </cfRule>
  </conditionalFormatting>
  <conditionalFormatting sqref="H6:H205">
    <cfRule type="expression" priority="3" aboveAverage="0" equalAverage="0" bottom="0" percent="0" rank="0" text="" dxfId="1">
      <formula>$H6="Paid"</formula>
    </cfRule>
    <cfRule type="expression" priority="4" aboveAverage="0" equalAverage="0" bottom="0" percent="0" rank="0" text="" dxfId="2">
      <formula>$H6="Booked (unpaid)"</formula>
    </cfRule>
  </conditionalFormatting>
  <conditionalFormatting sqref="K6:K205">
    <cfRule type="expression" priority="5" aboveAverage="0" equalAverage="0" bottom="0" percent="0" rank="0" text="" dxfId="3">
      <formula>AND($K6&lt;&gt;"",$K6&lt;TODAY(),$H6&lt;&gt;"Paid",$H6&lt;&gt;"Cancelled")</formula>
    </cfRule>
  </conditionalFormatting>
  <conditionalFormatting sqref="T6:T205">
    <cfRule type="expression" priority="6" aboveAverage="0" equalAverage="0" bottom="0" percent="0" rank="0" text="" dxfId="4">
      <formula>LEFT($T6,1)="⚠"</formula>
    </cfRule>
  </conditionalFormatting>
  <conditionalFormatting sqref="J6:J205">
    <cfRule type="expression" priority="7" aboveAverage="0" equalAverage="0" bottom="0" percent="0" rank="0" text="" dxfId="5">
      <formula>$J6="Optional"</formula>
    </cfRule>
  </conditionalFormatting>
  <dataValidations count="10">
    <dataValidation allowBlank="true" error="Type a number only (no currency symbols)." errorStyle="stop" errorTitle="Number needed" operator="greaterThanOrEqual" showDropDown="false" showErrorMessage="true" showInputMessage="false" sqref="D6:D205 I6:I205 U6:AD205" type="decimal">
      <formula1>0</formula1>
      <formula2>0</formula2>
    </dataValidation>
    <dataValidation allowBlank="true" error="Please pick from the list (click the ▼ arrow)." errorStyle="stop" errorTitle="Pick from the list" operator="between" prompt="Pre-trip for things you pay before you go (flights, visa). Otherwise pick the day you use it." promptTitle="When" showDropDown="false" showErrorMessage="true" showInputMessage="true" sqref="A6:A205" type="list">
      <formula1>DayList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B6:B205" type="list">
      <formula1>CatList</formula1>
      <formula2>0</formula2>
    </dataValidation>
    <dataValidation allowBlank="true" error="Please pick from the list (click the ▼ arrow)." errorStyle="stop" errorTitle="Pick from the list" operator="between" prompt="Blank = home currency. Your destination currency, USD and EUR are ready; add more on the Setup tab." promptTitle="Currency" showDropDown="false" showErrorMessage="true" showInputMessage="true" sqref="E6:E205" type="list">
      <formula1>CcyList</formula1>
      <formula2>0</formula2>
    </dataValidation>
    <dataValidation allowBlank="true" error="Please pick from the list (click the ▼ arrow)." errorStyle="stop" errorTitle="Pick from the list" operator="between" prompt="Who paid the bill? Used for settle-up." promptTitle="Paid by" showDropDown="false" showErrorMessage="true" showInputMessage="true" sqref="F6:F205" type="list">
      <formula1>TravList</formula1>
      <formula2>0</formula2>
    </dataValidation>
    <dataValidation allowBlank="true" error="Please pick from the list (click the ▼ arrow)." errorStyle="stop" errorTitle="Pick from the list" operator="between" prompt="Blank or Everyone = equal split. Pick a group or one person to charge only them. Custom = type shares in the green columns." promptTitle="Split between" showDropDown="false" showErrorMessage="true" showInputMessage="true" sqref="G6:G205" type="list">
      <formula1>SplitList</formula1>
      <formula2>0</formula2>
    </dataValidation>
    <dataValidation allowBlank="true" error="Please pick from the list (click the ▼ arrow)." errorStyle="stop" errorTitle="Pick from the list" operator="between" prompt="Blank = Planning. Mark Paid once paid; Cancelled drops out of totals." promptTitle="Status" showDropDown="false" showErrorMessage="true" showInputMessage="true" sqref="H6:H205" type="list">
      <formula1>StatusList</formula1>
      <formula2>0</formula2>
    </dataValidation>
    <dataValidation allowBlank="true" error="Please pick from the list (click the ▼ arrow)." errorStyle="stop" errorTitle="Pick from the list" operator="between" prompt="Blank = Must-have. Optional extras are shown on the dashboard as possible savings." promptTitle="Priority" showDropDown="false" showErrorMessage="true" showInputMessage="true" sqref="J6:J205" type="list">
      <formula1>PrioList</formula1>
      <formula2>0</formula2>
    </dataValidation>
    <dataValidation allowBlank="true" error="Type a date like 20-Dec-26" errorStyle="stop" errorTitle="Date needed" operator="greaterThan" showDropDown="false" showErrorMessage="true" showInputMessage="false" sqref="K6:K205" type="date">
      <formula1>DATE(2000,1,1)</formula1>
      <formula2>0</formula2>
    </dataValidation>
    <dataValidation allowBlank="true" error="Please pick from the list (click the ▼ arrow)." errorStyle="warning" errorTitle="Pick from the list" operator="between" showDropDown="false" showErrorMessage="false" showInputMessage="false" sqref="L6:L205" type="list">
      <formula1>PayList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85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7"/>
    <col collapsed="false" customWidth="true" hidden="false" outlineLevel="0" max="2" min="2" style="0" width="7"/>
    <col collapsed="false" customWidth="true" hidden="false" outlineLevel="0" max="3" min="3" style="0" width="16"/>
    <col collapsed="false" customWidth="true" hidden="false" outlineLevel="0" max="4" min="4" style="0" width="34"/>
    <col collapsed="false" customWidth="true" hidden="false" outlineLevel="0" max="6" min="5" style="0" width="14"/>
    <col collapsed="false" customWidth="true" hidden="false" outlineLevel="0" max="7" min="7" style="0" width="20"/>
    <col collapsed="false" customWidth="true" hidden="false" outlineLevel="0" max="8" min="8" style="0" width="22"/>
    <col collapsed="false" customWidth="true" hidden="false" outlineLevel="0" max="9" min="9" style="0" width="8"/>
    <col collapsed="false" customWidth="true" hidden="false" outlineLevel="0" max="10" min="10" style="0" width="5"/>
    <col collapsed="false" customWidth="true" hidden="false" outlineLevel="0" max="11" min="11" style="0" width="11"/>
    <col collapsed="false" customWidth="true" hidden="false" outlineLevel="0" max="12" min="12" style="0" width="18"/>
    <col collapsed="false" customWidth="true" hidden="true" outlineLevel="0" max="13" min="13" style="0" width="13"/>
  </cols>
  <sheetData>
    <row r="1" customFormat="false" ht="33.75" hidden="false" customHeight="true" outlineLevel="0" collapsed="false">
      <c r="A1" s="16" t="s">
        <v>58</v>
      </c>
      <c r="B1" s="17" t="s">
        <v>144</v>
      </c>
    </row>
    <row r="2" customFormat="false" ht="15" hidden="false" customHeight="false" outlineLevel="0" collapsed="false">
      <c r="B2" s="18" t="s">
        <v>145</v>
      </c>
    </row>
    <row r="5" customFormat="false" ht="30" hidden="false" customHeight="true" outlineLevel="0" collapsed="false">
      <c r="A5" s="22" t="s">
        <v>127</v>
      </c>
      <c r="B5" s="22" t="s">
        <v>146</v>
      </c>
      <c r="C5" s="22" t="s">
        <v>147</v>
      </c>
      <c r="D5" s="22" t="s">
        <v>148</v>
      </c>
      <c r="E5" s="22" t="s">
        <v>149</v>
      </c>
      <c r="F5" s="22" t="s">
        <v>150</v>
      </c>
      <c r="G5" s="22" t="s">
        <v>151</v>
      </c>
      <c r="H5" s="22" t="s">
        <v>152</v>
      </c>
      <c r="I5" s="22" t="s">
        <v>153</v>
      </c>
      <c r="J5" s="53" t="s">
        <v>140</v>
      </c>
      <c r="K5" s="53" t="s">
        <v>141</v>
      </c>
      <c r="L5" s="53" t="s">
        <v>154</v>
      </c>
    </row>
    <row r="6" customFormat="false" ht="15" hidden="false" customHeight="false" outlineLevel="0" collapsed="false">
      <c r="A6" s="23"/>
      <c r="B6" s="62"/>
      <c r="C6" s="23"/>
      <c r="D6" s="23"/>
      <c r="E6" s="23"/>
      <c r="F6" s="23"/>
      <c r="G6" s="23"/>
      <c r="H6" s="23"/>
      <c r="I6" s="23"/>
      <c r="J6" s="25" t="str">
        <f aca="false">IF(A6="","",IF(LEFT(A6,3)="Pre",0,IFERROR(VALUE(MID(A6,5,FIND(" ",A6&amp;" ",5)-5)),"")))</f>
        <v/>
      </c>
      <c r="K6" s="57" t="str">
        <f aca="false">IF(J6="","",IF(J6=0,"Before trip",IF(TripStart="","",TripStart+J6-1)))</f>
        <v/>
      </c>
      <c r="L6" s="26" t="str">
        <f aca="false">IF(G6="","",IFERROR(INDEX(Contacts!$D$6:$D$45,MATCH(G6,Contacts!$B$6:$B$45,0))&amp;"",""))</f>
        <v/>
      </c>
      <c r="M6" s="60" t="str">
        <f aca="false">IF(OR(J6="",D6=""),"",J6+IF(B6="",0.999,B6)+ROW()/10000000)</f>
        <v/>
      </c>
    </row>
    <row r="7" customFormat="false" ht="15" hidden="false" customHeight="false" outlineLevel="0" collapsed="false">
      <c r="A7" s="23"/>
      <c r="B7" s="62"/>
      <c r="C7" s="23"/>
      <c r="D7" s="23"/>
      <c r="E7" s="23"/>
      <c r="F7" s="23"/>
      <c r="G7" s="23"/>
      <c r="H7" s="23"/>
      <c r="I7" s="23"/>
      <c r="J7" s="25" t="str">
        <f aca="false">IF(A7="","",IF(LEFT(A7,3)="Pre",0,IFERROR(VALUE(MID(A7,5,FIND(" ",A7&amp;" ",5)-5)),"")))</f>
        <v/>
      </c>
      <c r="K7" s="57" t="str">
        <f aca="false">IF(J7="","",IF(J7=0,"Before trip",IF(TripStart="","",TripStart+J7-1)))</f>
        <v/>
      </c>
      <c r="L7" s="26" t="str">
        <f aca="false">IF(G7="","",IFERROR(INDEX(Contacts!$D$6:$D$45,MATCH(G7,Contacts!$B$6:$B$45,0))&amp;"",""))</f>
        <v/>
      </c>
      <c r="M7" s="60" t="str">
        <f aca="false">IF(OR(J7="",D7=""),"",J7+IF(B7="",0.999,B7)+ROW()/10000000)</f>
        <v/>
      </c>
    </row>
    <row r="8" customFormat="false" ht="15" hidden="false" customHeight="false" outlineLevel="0" collapsed="false">
      <c r="A8" s="23"/>
      <c r="B8" s="62"/>
      <c r="C8" s="23"/>
      <c r="D8" s="23"/>
      <c r="E8" s="23"/>
      <c r="F8" s="23"/>
      <c r="G8" s="23"/>
      <c r="H8" s="23"/>
      <c r="I8" s="23"/>
      <c r="J8" s="25" t="str">
        <f aca="false">IF(A8="","",IF(LEFT(A8,3)="Pre",0,IFERROR(VALUE(MID(A8,5,FIND(" ",A8&amp;" ",5)-5)),"")))</f>
        <v/>
      </c>
      <c r="K8" s="57" t="str">
        <f aca="false">IF(J8="","",IF(J8=0,"Before trip",IF(TripStart="","",TripStart+J8-1)))</f>
        <v/>
      </c>
      <c r="L8" s="26" t="str">
        <f aca="false">IF(G8="","",IFERROR(INDEX(Contacts!$D$6:$D$45,MATCH(G8,Contacts!$B$6:$B$45,0))&amp;"",""))</f>
        <v/>
      </c>
      <c r="M8" s="60" t="str">
        <f aca="false">IF(OR(J8="",D8=""),"",J8+IF(B8="",0.999,B8)+ROW()/10000000)</f>
        <v/>
      </c>
    </row>
    <row r="9" customFormat="false" ht="15" hidden="false" customHeight="false" outlineLevel="0" collapsed="false">
      <c r="A9" s="23"/>
      <c r="B9" s="62"/>
      <c r="C9" s="23"/>
      <c r="D9" s="23"/>
      <c r="E9" s="23"/>
      <c r="F9" s="23"/>
      <c r="G9" s="23"/>
      <c r="H9" s="23"/>
      <c r="I9" s="23"/>
      <c r="J9" s="25" t="str">
        <f aca="false">IF(A9="","",IF(LEFT(A9,3)="Pre",0,IFERROR(VALUE(MID(A9,5,FIND(" ",A9&amp;" ",5)-5)),"")))</f>
        <v/>
      </c>
      <c r="K9" s="57" t="str">
        <f aca="false">IF(J9="","",IF(J9=0,"Before trip",IF(TripStart="","",TripStart+J9-1)))</f>
        <v/>
      </c>
      <c r="L9" s="26" t="str">
        <f aca="false">IF(G9="","",IFERROR(INDEX(Contacts!$D$6:$D$45,MATCH(G9,Contacts!$B$6:$B$45,0))&amp;"",""))</f>
        <v/>
      </c>
      <c r="M9" s="60" t="str">
        <f aca="false">IF(OR(J9="",D9=""),"",J9+IF(B9="",0.999,B9)+ROW()/10000000)</f>
        <v/>
      </c>
    </row>
    <row r="10" customFormat="false" ht="15" hidden="false" customHeight="false" outlineLevel="0" collapsed="false">
      <c r="A10" s="23"/>
      <c r="B10" s="62"/>
      <c r="C10" s="23"/>
      <c r="D10" s="23"/>
      <c r="E10" s="23"/>
      <c r="F10" s="23"/>
      <c r="G10" s="23"/>
      <c r="H10" s="23"/>
      <c r="I10" s="23"/>
      <c r="J10" s="25" t="str">
        <f aca="false">IF(A10="","",IF(LEFT(A10,3)="Pre",0,IFERROR(VALUE(MID(A10,5,FIND(" ",A10&amp;" ",5)-5)),"")))</f>
        <v/>
      </c>
      <c r="K10" s="57" t="str">
        <f aca="false">IF(J10="","",IF(J10=0,"Before trip",IF(TripStart="","",TripStart+J10-1)))</f>
        <v/>
      </c>
      <c r="L10" s="26" t="str">
        <f aca="false">IF(G10="","",IFERROR(INDEX(Contacts!$D$6:$D$45,MATCH(G10,Contacts!$B$6:$B$45,0))&amp;"",""))</f>
        <v/>
      </c>
      <c r="M10" s="60" t="str">
        <f aca="false">IF(OR(J10="",D10=""),"",J10+IF(B10="",0.999,B10)+ROW()/10000000)</f>
        <v/>
      </c>
    </row>
    <row r="11" customFormat="false" ht="15" hidden="false" customHeight="false" outlineLevel="0" collapsed="false">
      <c r="A11" s="23"/>
      <c r="B11" s="62"/>
      <c r="C11" s="23"/>
      <c r="D11" s="23"/>
      <c r="E11" s="23"/>
      <c r="F11" s="23"/>
      <c r="G11" s="23"/>
      <c r="H11" s="23"/>
      <c r="I11" s="23"/>
      <c r="J11" s="25" t="str">
        <f aca="false">IF(A11="","",IF(LEFT(A11,3)="Pre",0,IFERROR(VALUE(MID(A11,5,FIND(" ",A11&amp;" ",5)-5)),"")))</f>
        <v/>
      </c>
      <c r="K11" s="57" t="str">
        <f aca="false">IF(J11="","",IF(J11=0,"Before trip",IF(TripStart="","",TripStart+J11-1)))</f>
        <v/>
      </c>
      <c r="L11" s="26" t="str">
        <f aca="false">IF(G11="","",IFERROR(INDEX(Contacts!$D$6:$D$45,MATCH(G11,Contacts!$B$6:$B$45,0))&amp;"",""))</f>
        <v/>
      </c>
      <c r="M11" s="60" t="str">
        <f aca="false">IF(OR(J11="",D11=""),"",J11+IF(B11="",0.999,B11)+ROW()/10000000)</f>
        <v/>
      </c>
    </row>
    <row r="12" customFormat="false" ht="15" hidden="false" customHeight="false" outlineLevel="0" collapsed="false">
      <c r="A12" s="23"/>
      <c r="B12" s="62"/>
      <c r="C12" s="23"/>
      <c r="D12" s="23"/>
      <c r="E12" s="23"/>
      <c r="F12" s="23"/>
      <c r="G12" s="23"/>
      <c r="H12" s="23"/>
      <c r="I12" s="23"/>
      <c r="J12" s="25" t="str">
        <f aca="false">IF(A12="","",IF(LEFT(A12,3)="Pre",0,IFERROR(VALUE(MID(A12,5,FIND(" ",A12&amp;" ",5)-5)),"")))</f>
        <v/>
      </c>
      <c r="K12" s="57" t="str">
        <f aca="false">IF(J12="","",IF(J12=0,"Before trip",IF(TripStart="","",TripStart+J12-1)))</f>
        <v/>
      </c>
      <c r="L12" s="26" t="str">
        <f aca="false">IF(G12="","",IFERROR(INDEX(Contacts!$D$6:$D$45,MATCH(G12,Contacts!$B$6:$B$45,0))&amp;"",""))</f>
        <v/>
      </c>
      <c r="M12" s="60" t="str">
        <f aca="false">IF(OR(J12="",D12=""),"",J12+IF(B12="",0.999,B12)+ROW()/10000000)</f>
        <v/>
      </c>
    </row>
    <row r="13" customFormat="false" ht="15" hidden="false" customHeight="false" outlineLevel="0" collapsed="false">
      <c r="A13" s="23"/>
      <c r="B13" s="62"/>
      <c r="C13" s="23"/>
      <c r="D13" s="23"/>
      <c r="E13" s="23"/>
      <c r="F13" s="23"/>
      <c r="G13" s="23"/>
      <c r="H13" s="23"/>
      <c r="I13" s="23"/>
      <c r="J13" s="25" t="str">
        <f aca="false">IF(A13="","",IF(LEFT(A13,3)="Pre",0,IFERROR(VALUE(MID(A13,5,FIND(" ",A13&amp;" ",5)-5)),"")))</f>
        <v/>
      </c>
      <c r="K13" s="57" t="str">
        <f aca="false">IF(J13="","",IF(J13=0,"Before trip",IF(TripStart="","",TripStart+J13-1)))</f>
        <v/>
      </c>
      <c r="L13" s="26" t="str">
        <f aca="false">IF(G13="","",IFERROR(INDEX(Contacts!$D$6:$D$45,MATCH(G13,Contacts!$B$6:$B$45,0))&amp;"",""))</f>
        <v/>
      </c>
      <c r="M13" s="60" t="str">
        <f aca="false">IF(OR(J13="",D13=""),"",J13+IF(B13="",0.999,B13)+ROW()/10000000)</f>
        <v/>
      </c>
    </row>
    <row r="14" customFormat="false" ht="15" hidden="false" customHeight="false" outlineLevel="0" collapsed="false">
      <c r="A14" s="23"/>
      <c r="B14" s="62"/>
      <c r="C14" s="23"/>
      <c r="D14" s="23"/>
      <c r="E14" s="23"/>
      <c r="F14" s="23"/>
      <c r="G14" s="23"/>
      <c r="H14" s="23"/>
      <c r="I14" s="23"/>
      <c r="J14" s="25" t="str">
        <f aca="false">IF(A14="","",IF(LEFT(A14,3)="Pre",0,IFERROR(VALUE(MID(A14,5,FIND(" ",A14&amp;" ",5)-5)),"")))</f>
        <v/>
      </c>
      <c r="K14" s="57" t="str">
        <f aca="false">IF(J14="","",IF(J14=0,"Before trip",IF(TripStart="","",TripStart+J14-1)))</f>
        <v/>
      </c>
      <c r="L14" s="26" t="str">
        <f aca="false">IF(G14="","",IFERROR(INDEX(Contacts!$D$6:$D$45,MATCH(G14,Contacts!$B$6:$B$45,0))&amp;"",""))</f>
        <v/>
      </c>
      <c r="M14" s="60" t="str">
        <f aca="false">IF(OR(J14="",D14=""),"",J14+IF(B14="",0.999,B14)+ROW()/10000000)</f>
        <v/>
      </c>
    </row>
    <row r="15" customFormat="false" ht="15" hidden="false" customHeight="false" outlineLevel="0" collapsed="false">
      <c r="A15" s="23"/>
      <c r="B15" s="62"/>
      <c r="C15" s="23"/>
      <c r="D15" s="23"/>
      <c r="E15" s="23"/>
      <c r="F15" s="23"/>
      <c r="G15" s="23"/>
      <c r="H15" s="23"/>
      <c r="I15" s="23"/>
      <c r="J15" s="25" t="str">
        <f aca="false">IF(A15="","",IF(LEFT(A15,3)="Pre",0,IFERROR(VALUE(MID(A15,5,FIND(" ",A15&amp;" ",5)-5)),"")))</f>
        <v/>
      </c>
      <c r="K15" s="57" t="str">
        <f aca="false">IF(J15="","",IF(J15=0,"Before trip",IF(TripStart="","",TripStart+J15-1)))</f>
        <v/>
      </c>
      <c r="L15" s="26" t="str">
        <f aca="false">IF(G15="","",IFERROR(INDEX(Contacts!$D$6:$D$45,MATCH(G15,Contacts!$B$6:$B$45,0))&amp;"",""))</f>
        <v/>
      </c>
      <c r="M15" s="60" t="str">
        <f aca="false">IF(OR(J15="",D15=""),"",J15+IF(B15="",0.999,B15)+ROW()/10000000)</f>
        <v/>
      </c>
    </row>
    <row r="16" customFormat="false" ht="15" hidden="false" customHeight="false" outlineLevel="0" collapsed="false">
      <c r="A16" s="23"/>
      <c r="B16" s="62"/>
      <c r="C16" s="23"/>
      <c r="D16" s="23"/>
      <c r="E16" s="23"/>
      <c r="F16" s="23"/>
      <c r="G16" s="23"/>
      <c r="H16" s="23"/>
      <c r="I16" s="23"/>
      <c r="J16" s="25" t="str">
        <f aca="false">IF(A16="","",IF(LEFT(A16,3)="Pre",0,IFERROR(VALUE(MID(A16,5,FIND(" ",A16&amp;" ",5)-5)),"")))</f>
        <v/>
      </c>
      <c r="K16" s="57" t="str">
        <f aca="false">IF(J16="","",IF(J16=0,"Before trip",IF(TripStart="","",TripStart+J16-1)))</f>
        <v/>
      </c>
      <c r="L16" s="26" t="str">
        <f aca="false">IF(G16="","",IFERROR(INDEX(Contacts!$D$6:$D$45,MATCH(G16,Contacts!$B$6:$B$45,0))&amp;"",""))</f>
        <v/>
      </c>
      <c r="M16" s="60" t="str">
        <f aca="false">IF(OR(J16="",D16=""),"",J16+IF(B16="",0.999,B16)+ROW()/10000000)</f>
        <v/>
      </c>
    </row>
    <row r="17" customFormat="false" ht="15" hidden="false" customHeight="false" outlineLevel="0" collapsed="false">
      <c r="A17" s="23"/>
      <c r="B17" s="62"/>
      <c r="C17" s="23"/>
      <c r="D17" s="23"/>
      <c r="E17" s="23"/>
      <c r="F17" s="23"/>
      <c r="G17" s="23"/>
      <c r="H17" s="23"/>
      <c r="I17" s="23"/>
      <c r="J17" s="25" t="str">
        <f aca="false">IF(A17="","",IF(LEFT(A17,3)="Pre",0,IFERROR(VALUE(MID(A17,5,FIND(" ",A17&amp;" ",5)-5)),"")))</f>
        <v/>
      </c>
      <c r="K17" s="57" t="str">
        <f aca="false">IF(J17="","",IF(J17=0,"Before trip",IF(TripStart="","",TripStart+J17-1)))</f>
        <v/>
      </c>
      <c r="L17" s="26" t="str">
        <f aca="false">IF(G17="","",IFERROR(INDEX(Contacts!$D$6:$D$45,MATCH(G17,Contacts!$B$6:$B$45,0))&amp;"",""))</f>
        <v/>
      </c>
      <c r="M17" s="60" t="str">
        <f aca="false">IF(OR(J17="",D17=""),"",J17+IF(B17="",0.999,B17)+ROW()/10000000)</f>
        <v/>
      </c>
    </row>
    <row r="18" customFormat="false" ht="15" hidden="false" customHeight="false" outlineLevel="0" collapsed="false">
      <c r="A18" s="23"/>
      <c r="B18" s="62"/>
      <c r="C18" s="23"/>
      <c r="D18" s="23"/>
      <c r="E18" s="23"/>
      <c r="F18" s="23"/>
      <c r="G18" s="23"/>
      <c r="H18" s="23"/>
      <c r="I18" s="23"/>
      <c r="J18" s="25" t="str">
        <f aca="false">IF(A18="","",IF(LEFT(A18,3)="Pre",0,IFERROR(VALUE(MID(A18,5,FIND(" ",A18&amp;" ",5)-5)),"")))</f>
        <v/>
      </c>
      <c r="K18" s="57" t="str">
        <f aca="false">IF(J18="","",IF(J18=0,"Before trip",IF(TripStart="","",TripStart+J18-1)))</f>
        <v/>
      </c>
      <c r="L18" s="26" t="str">
        <f aca="false">IF(G18="","",IFERROR(INDEX(Contacts!$D$6:$D$45,MATCH(G18,Contacts!$B$6:$B$45,0))&amp;"",""))</f>
        <v/>
      </c>
      <c r="M18" s="60" t="str">
        <f aca="false">IF(OR(J18="",D18=""),"",J18+IF(B18="",0.999,B18)+ROW()/10000000)</f>
        <v/>
      </c>
    </row>
    <row r="19" customFormat="false" ht="15" hidden="false" customHeight="false" outlineLevel="0" collapsed="false">
      <c r="A19" s="23"/>
      <c r="B19" s="62"/>
      <c r="C19" s="23"/>
      <c r="D19" s="23"/>
      <c r="E19" s="23"/>
      <c r="F19" s="23"/>
      <c r="G19" s="23"/>
      <c r="H19" s="23"/>
      <c r="I19" s="23"/>
      <c r="J19" s="25" t="str">
        <f aca="false">IF(A19="","",IF(LEFT(A19,3)="Pre",0,IFERROR(VALUE(MID(A19,5,FIND(" ",A19&amp;" ",5)-5)),"")))</f>
        <v/>
      </c>
      <c r="K19" s="57" t="str">
        <f aca="false">IF(J19="","",IF(J19=0,"Before trip",IF(TripStart="","",TripStart+J19-1)))</f>
        <v/>
      </c>
      <c r="L19" s="26" t="str">
        <f aca="false">IF(G19="","",IFERROR(INDEX(Contacts!$D$6:$D$45,MATCH(G19,Contacts!$B$6:$B$45,0))&amp;"",""))</f>
        <v/>
      </c>
      <c r="M19" s="60" t="str">
        <f aca="false">IF(OR(J19="",D19=""),"",J19+IF(B19="",0.999,B19)+ROW()/10000000)</f>
        <v/>
      </c>
    </row>
    <row r="20" customFormat="false" ht="15" hidden="false" customHeight="false" outlineLevel="0" collapsed="false">
      <c r="A20" s="23"/>
      <c r="B20" s="62"/>
      <c r="C20" s="23"/>
      <c r="D20" s="23"/>
      <c r="E20" s="23"/>
      <c r="F20" s="23"/>
      <c r="G20" s="23"/>
      <c r="H20" s="23"/>
      <c r="I20" s="23"/>
      <c r="J20" s="25" t="str">
        <f aca="false">IF(A20="","",IF(LEFT(A20,3)="Pre",0,IFERROR(VALUE(MID(A20,5,FIND(" ",A20&amp;" ",5)-5)),"")))</f>
        <v/>
      </c>
      <c r="K20" s="57" t="str">
        <f aca="false">IF(J20="","",IF(J20=0,"Before trip",IF(TripStart="","",TripStart+J20-1)))</f>
        <v/>
      </c>
      <c r="L20" s="26" t="str">
        <f aca="false">IF(G20="","",IFERROR(INDEX(Contacts!$D$6:$D$45,MATCH(G20,Contacts!$B$6:$B$45,0))&amp;"",""))</f>
        <v/>
      </c>
      <c r="M20" s="60" t="str">
        <f aca="false">IF(OR(J20="",D20=""),"",J20+IF(B20="",0.999,B20)+ROW()/10000000)</f>
        <v/>
      </c>
    </row>
    <row r="21" customFormat="false" ht="15" hidden="false" customHeight="false" outlineLevel="0" collapsed="false">
      <c r="A21" s="23"/>
      <c r="B21" s="62"/>
      <c r="C21" s="23"/>
      <c r="D21" s="23"/>
      <c r="E21" s="23"/>
      <c r="F21" s="23"/>
      <c r="G21" s="23"/>
      <c r="H21" s="23"/>
      <c r="I21" s="23"/>
      <c r="J21" s="25" t="str">
        <f aca="false">IF(A21="","",IF(LEFT(A21,3)="Pre",0,IFERROR(VALUE(MID(A21,5,FIND(" ",A21&amp;" ",5)-5)),"")))</f>
        <v/>
      </c>
      <c r="K21" s="57" t="str">
        <f aca="false">IF(J21="","",IF(J21=0,"Before trip",IF(TripStart="","",TripStart+J21-1)))</f>
        <v/>
      </c>
      <c r="L21" s="26" t="str">
        <f aca="false">IF(G21="","",IFERROR(INDEX(Contacts!$D$6:$D$45,MATCH(G21,Contacts!$B$6:$B$45,0))&amp;"",""))</f>
        <v/>
      </c>
      <c r="M21" s="60" t="str">
        <f aca="false">IF(OR(J21="",D21=""),"",J21+IF(B21="",0.999,B21)+ROW()/10000000)</f>
        <v/>
      </c>
    </row>
    <row r="22" customFormat="false" ht="15" hidden="false" customHeight="false" outlineLevel="0" collapsed="false">
      <c r="A22" s="23"/>
      <c r="B22" s="62"/>
      <c r="C22" s="23"/>
      <c r="D22" s="23"/>
      <c r="E22" s="23"/>
      <c r="F22" s="23"/>
      <c r="G22" s="23"/>
      <c r="H22" s="23"/>
      <c r="I22" s="23"/>
      <c r="J22" s="25" t="str">
        <f aca="false">IF(A22="","",IF(LEFT(A22,3)="Pre",0,IFERROR(VALUE(MID(A22,5,FIND(" ",A22&amp;" ",5)-5)),"")))</f>
        <v/>
      </c>
      <c r="K22" s="57" t="str">
        <f aca="false">IF(J22="","",IF(J22=0,"Before trip",IF(TripStart="","",TripStart+J22-1)))</f>
        <v/>
      </c>
      <c r="L22" s="26" t="str">
        <f aca="false">IF(G22="","",IFERROR(INDEX(Contacts!$D$6:$D$45,MATCH(G22,Contacts!$B$6:$B$45,0))&amp;"",""))</f>
        <v/>
      </c>
      <c r="M22" s="60" t="str">
        <f aca="false">IF(OR(J22="",D22=""),"",J22+IF(B22="",0.999,B22)+ROW()/10000000)</f>
        <v/>
      </c>
    </row>
    <row r="23" customFormat="false" ht="15" hidden="false" customHeight="false" outlineLevel="0" collapsed="false">
      <c r="A23" s="23"/>
      <c r="B23" s="62"/>
      <c r="C23" s="23"/>
      <c r="D23" s="23"/>
      <c r="E23" s="23"/>
      <c r="F23" s="23"/>
      <c r="G23" s="23"/>
      <c r="H23" s="23"/>
      <c r="I23" s="23"/>
      <c r="J23" s="25" t="str">
        <f aca="false">IF(A23="","",IF(LEFT(A23,3)="Pre",0,IFERROR(VALUE(MID(A23,5,FIND(" ",A23&amp;" ",5)-5)),"")))</f>
        <v/>
      </c>
      <c r="K23" s="57" t="str">
        <f aca="false">IF(J23="","",IF(J23=0,"Before trip",IF(TripStart="","",TripStart+J23-1)))</f>
        <v/>
      </c>
      <c r="L23" s="26" t="str">
        <f aca="false">IF(G23="","",IFERROR(INDEX(Contacts!$D$6:$D$45,MATCH(G23,Contacts!$B$6:$B$45,0))&amp;"",""))</f>
        <v/>
      </c>
      <c r="M23" s="60" t="str">
        <f aca="false">IF(OR(J23="",D23=""),"",J23+IF(B23="",0.999,B23)+ROW()/10000000)</f>
        <v/>
      </c>
    </row>
    <row r="24" customFormat="false" ht="15" hidden="false" customHeight="false" outlineLevel="0" collapsed="false">
      <c r="A24" s="23"/>
      <c r="B24" s="62"/>
      <c r="C24" s="23"/>
      <c r="D24" s="23"/>
      <c r="E24" s="23"/>
      <c r="F24" s="23"/>
      <c r="G24" s="23"/>
      <c r="H24" s="23"/>
      <c r="I24" s="23"/>
      <c r="J24" s="25" t="str">
        <f aca="false">IF(A24="","",IF(LEFT(A24,3)="Pre",0,IFERROR(VALUE(MID(A24,5,FIND(" ",A24&amp;" ",5)-5)),"")))</f>
        <v/>
      </c>
      <c r="K24" s="57" t="str">
        <f aca="false">IF(J24="","",IF(J24=0,"Before trip",IF(TripStart="","",TripStart+J24-1)))</f>
        <v/>
      </c>
      <c r="L24" s="26" t="str">
        <f aca="false">IF(G24="","",IFERROR(INDEX(Contacts!$D$6:$D$45,MATCH(G24,Contacts!$B$6:$B$45,0))&amp;"",""))</f>
        <v/>
      </c>
      <c r="M24" s="60" t="str">
        <f aca="false">IF(OR(J24="",D24=""),"",J24+IF(B24="",0.999,B24)+ROW()/10000000)</f>
        <v/>
      </c>
    </row>
    <row r="25" customFormat="false" ht="15" hidden="false" customHeight="false" outlineLevel="0" collapsed="false">
      <c r="A25" s="23"/>
      <c r="B25" s="62"/>
      <c r="C25" s="23"/>
      <c r="D25" s="23"/>
      <c r="E25" s="23"/>
      <c r="F25" s="23"/>
      <c r="G25" s="23"/>
      <c r="H25" s="23"/>
      <c r="I25" s="23"/>
      <c r="J25" s="25" t="str">
        <f aca="false">IF(A25="","",IF(LEFT(A25,3)="Pre",0,IFERROR(VALUE(MID(A25,5,FIND(" ",A25&amp;" ",5)-5)),"")))</f>
        <v/>
      </c>
      <c r="K25" s="57" t="str">
        <f aca="false">IF(J25="","",IF(J25=0,"Before trip",IF(TripStart="","",TripStart+J25-1)))</f>
        <v/>
      </c>
      <c r="L25" s="26" t="str">
        <f aca="false">IF(G25="","",IFERROR(INDEX(Contacts!$D$6:$D$45,MATCH(G25,Contacts!$B$6:$B$45,0))&amp;"",""))</f>
        <v/>
      </c>
      <c r="M25" s="60" t="str">
        <f aca="false">IF(OR(J25="",D25=""),"",J25+IF(B25="",0.999,B25)+ROW()/10000000)</f>
        <v/>
      </c>
    </row>
    <row r="26" customFormat="false" ht="15" hidden="false" customHeight="false" outlineLevel="0" collapsed="false">
      <c r="A26" s="23"/>
      <c r="B26" s="62"/>
      <c r="C26" s="23"/>
      <c r="D26" s="23"/>
      <c r="E26" s="23"/>
      <c r="F26" s="23"/>
      <c r="G26" s="23"/>
      <c r="H26" s="23"/>
      <c r="I26" s="23"/>
      <c r="J26" s="25" t="str">
        <f aca="false">IF(A26="","",IF(LEFT(A26,3)="Pre",0,IFERROR(VALUE(MID(A26,5,FIND(" ",A26&amp;" ",5)-5)),"")))</f>
        <v/>
      </c>
      <c r="K26" s="57" t="str">
        <f aca="false">IF(J26="","",IF(J26=0,"Before trip",IF(TripStart="","",TripStart+J26-1)))</f>
        <v/>
      </c>
      <c r="L26" s="26" t="str">
        <f aca="false">IF(G26="","",IFERROR(INDEX(Contacts!$D$6:$D$45,MATCH(G26,Contacts!$B$6:$B$45,0))&amp;"",""))</f>
        <v/>
      </c>
      <c r="M26" s="60" t="str">
        <f aca="false">IF(OR(J26="",D26=""),"",J26+IF(B26="",0.999,B26)+ROW()/10000000)</f>
        <v/>
      </c>
    </row>
    <row r="27" customFormat="false" ht="15" hidden="false" customHeight="false" outlineLevel="0" collapsed="false">
      <c r="A27" s="23"/>
      <c r="B27" s="62"/>
      <c r="C27" s="23"/>
      <c r="D27" s="23"/>
      <c r="E27" s="23"/>
      <c r="F27" s="23"/>
      <c r="G27" s="23"/>
      <c r="H27" s="23"/>
      <c r="I27" s="23"/>
      <c r="J27" s="25" t="str">
        <f aca="false">IF(A27="","",IF(LEFT(A27,3)="Pre",0,IFERROR(VALUE(MID(A27,5,FIND(" ",A27&amp;" ",5)-5)),"")))</f>
        <v/>
      </c>
      <c r="K27" s="57" t="str">
        <f aca="false">IF(J27="","",IF(J27=0,"Before trip",IF(TripStart="","",TripStart+J27-1)))</f>
        <v/>
      </c>
      <c r="L27" s="26" t="str">
        <f aca="false">IF(G27="","",IFERROR(INDEX(Contacts!$D$6:$D$45,MATCH(G27,Contacts!$B$6:$B$45,0))&amp;"",""))</f>
        <v/>
      </c>
      <c r="M27" s="60" t="str">
        <f aca="false">IF(OR(J27="",D27=""),"",J27+IF(B27="",0.999,B27)+ROW()/10000000)</f>
        <v/>
      </c>
    </row>
    <row r="28" customFormat="false" ht="15" hidden="false" customHeight="false" outlineLevel="0" collapsed="false">
      <c r="A28" s="23"/>
      <c r="B28" s="62"/>
      <c r="C28" s="23"/>
      <c r="D28" s="23"/>
      <c r="E28" s="23"/>
      <c r="F28" s="23"/>
      <c r="G28" s="23"/>
      <c r="H28" s="23"/>
      <c r="I28" s="23"/>
      <c r="J28" s="25" t="str">
        <f aca="false">IF(A28="","",IF(LEFT(A28,3)="Pre",0,IFERROR(VALUE(MID(A28,5,FIND(" ",A28&amp;" ",5)-5)),"")))</f>
        <v/>
      </c>
      <c r="K28" s="57" t="str">
        <f aca="false">IF(J28="","",IF(J28=0,"Before trip",IF(TripStart="","",TripStart+J28-1)))</f>
        <v/>
      </c>
      <c r="L28" s="26" t="str">
        <f aca="false">IF(G28="","",IFERROR(INDEX(Contacts!$D$6:$D$45,MATCH(G28,Contacts!$B$6:$B$45,0))&amp;"",""))</f>
        <v/>
      </c>
      <c r="M28" s="60" t="str">
        <f aca="false">IF(OR(J28="",D28=""),"",J28+IF(B28="",0.999,B28)+ROW()/10000000)</f>
        <v/>
      </c>
    </row>
    <row r="29" customFormat="false" ht="15" hidden="false" customHeight="false" outlineLevel="0" collapsed="false">
      <c r="A29" s="23"/>
      <c r="B29" s="62"/>
      <c r="C29" s="23"/>
      <c r="D29" s="23"/>
      <c r="E29" s="23"/>
      <c r="F29" s="23"/>
      <c r="G29" s="23"/>
      <c r="H29" s="23"/>
      <c r="I29" s="23"/>
      <c r="J29" s="25" t="str">
        <f aca="false">IF(A29="","",IF(LEFT(A29,3)="Pre",0,IFERROR(VALUE(MID(A29,5,FIND(" ",A29&amp;" ",5)-5)),"")))</f>
        <v/>
      </c>
      <c r="K29" s="57" t="str">
        <f aca="false">IF(J29="","",IF(J29=0,"Before trip",IF(TripStart="","",TripStart+J29-1)))</f>
        <v/>
      </c>
      <c r="L29" s="26" t="str">
        <f aca="false">IF(G29="","",IFERROR(INDEX(Contacts!$D$6:$D$45,MATCH(G29,Contacts!$B$6:$B$45,0))&amp;"",""))</f>
        <v/>
      </c>
      <c r="M29" s="60" t="str">
        <f aca="false">IF(OR(J29="",D29=""),"",J29+IF(B29="",0.999,B29)+ROW()/10000000)</f>
        <v/>
      </c>
    </row>
    <row r="30" customFormat="false" ht="15" hidden="false" customHeight="false" outlineLevel="0" collapsed="false">
      <c r="A30" s="23"/>
      <c r="B30" s="62"/>
      <c r="C30" s="23"/>
      <c r="D30" s="23"/>
      <c r="E30" s="23"/>
      <c r="F30" s="23"/>
      <c r="G30" s="23"/>
      <c r="H30" s="23"/>
      <c r="I30" s="23"/>
      <c r="J30" s="25" t="str">
        <f aca="false">IF(A30="","",IF(LEFT(A30,3)="Pre",0,IFERROR(VALUE(MID(A30,5,FIND(" ",A30&amp;" ",5)-5)),"")))</f>
        <v/>
      </c>
      <c r="K30" s="57" t="str">
        <f aca="false">IF(J30="","",IF(J30=0,"Before trip",IF(TripStart="","",TripStart+J30-1)))</f>
        <v/>
      </c>
      <c r="L30" s="26" t="str">
        <f aca="false">IF(G30="","",IFERROR(INDEX(Contacts!$D$6:$D$45,MATCH(G30,Contacts!$B$6:$B$45,0))&amp;"",""))</f>
        <v/>
      </c>
      <c r="M30" s="60" t="str">
        <f aca="false">IF(OR(J30="",D30=""),"",J30+IF(B30="",0.999,B30)+ROW()/10000000)</f>
        <v/>
      </c>
    </row>
    <row r="31" customFormat="false" ht="15" hidden="false" customHeight="false" outlineLevel="0" collapsed="false">
      <c r="A31" s="23"/>
      <c r="B31" s="62"/>
      <c r="C31" s="23"/>
      <c r="D31" s="23"/>
      <c r="E31" s="23"/>
      <c r="F31" s="23"/>
      <c r="G31" s="23"/>
      <c r="H31" s="23"/>
      <c r="I31" s="23"/>
      <c r="J31" s="25" t="str">
        <f aca="false">IF(A31="","",IF(LEFT(A31,3)="Pre",0,IFERROR(VALUE(MID(A31,5,FIND(" ",A31&amp;" ",5)-5)),"")))</f>
        <v/>
      </c>
      <c r="K31" s="57" t="str">
        <f aca="false">IF(J31="","",IF(J31=0,"Before trip",IF(TripStart="","",TripStart+J31-1)))</f>
        <v/>
      </c>
      <c r="L31" s="26" t="str">
        <f aca="false">IF(G31="","",IFERROR(INDEX(Contacts!$D$6:$D$45,MATCH(G31,Contacts!$B$6:$B$45,0))&amp;"",""))</f>
        <v/>
      </c>
      <c r="M31" s="60" t="str">
        <f aca="false">IF(OR(J31="",D31=""),"",J31+IF(B31="",0.999,B31)+ROW()/10000000)</f>
        <v/>
      </c>
    </row>
    <row r="32" customFormat="false" ht="15" hidden="false" customHeight="false" outlineLevel="0" collapsed="false">
      <c r="A32" s="23"/>
      <c r="B32" s="62"/>
      <c r="C32" s="23"/>
      <c r="D32" s="23"/>
      <c r="E32" s="23"/>
      <c r="F32" s="23"/>
      <c r="G32" s="23"/>
      <c r="H32" s="23"/>
      <c r="I32" s="23"/>
      <c r="J32" s="25" t="str">
        <f aca="false">IF(A32="","",IF(LEFT(A32,3)="Pre",0,IFERROR(VALUE(MID(A32,5,FIND(" ",A32&amp;" ",5)-5)),"")))</f>
        <v/>
      </c>
      <c r="K32" s="57" t="str">
        <f aca="false">IF(J32="","",IF(J32=0,"Before trip",IF(TripStart="","",TripStart+J32-1)))</f>
        <v/>
      </c>
      <c r="L32" s="26" t="str">
        <f aca="false">IF(G32="","",IFERROR(INDEX(Contacts!$D$6:$D$45,MATCH(G32,Contacts!$B$6:$B$45,0))&amp;"",""))</f>
        <v/>
      </c>
      <c r="M32" s="60" t="str">
        <f aca="false">IF(OR(J32="",D32=""),"",J32+IF(B32="",0.999,B32)+ROW()/10000000)</f>
        <v/>
      </c>
    </row>
    <row r="33" customFormat="false" ht="15" hidden="false" customHeight="false" outlineLevel="0" collapsed="false">
      <c r="A33" s="23"/>
      <c r="B33" s="62"/>
      <c r="C33" s="23"/>
      <c r="D33" s="23"/>
      <c r="E33" s="23"/>
      <c r="F33" s="23"/>
      <c r="G33" s="23"/>
      <c r="H33" s="23"/>
      <c r="I33" s="23"/>
      <c r="J33" s="25" t="str">
        <f aca="false">IF(A33="","",IF(LEFT(A33,3)="Pre",0,IFERROR(VALUE(MID(A33,5,FIND(" ",A33&amp;" ",5)-5)),"")))</f>
        <v/>
      </c>
      <c r="K33" s="57" t="str">
        <f aca="false">IF(J33="","",IF(J33=0,"Before trip",IF(TripStart="","",TripStart+J33-1)))</f>
        <v/>
      </c>
      <c r="L33" s="26" t="str">
        <f aca="false">IF(G33="","",IFERROR(INDEX(Contacts!$D$6:$D$45,MATCH(G33,Contacts!$B$6:$B$45,0))&amp;"",""))</f>
        <v/>
      </c>
      <c r="M33" s="60" t="str">
        <f aca="false">IF(OR(J33="",D33=""),"",J33+IF(B33="",0.999,B33)+ROW()/10000000)</f>
        <v/>
      </c>
    </row>
    <row r="34" customFormat="false" ht="15" hidden="false" customHeight="false" outlineLevel="0" collapsed="false">
      <c r="A34" s="23"/>
      <c r="B34" s="62"/>
      <c r="C34" s="23"/>
      <c r="D34" s="23"/>
      <c r="E34" s="23"/>
      <c r="F34" s="23"/>
      <c r="G34" s="23"/>
      <c r="H34" s="23"/>
      <c r="I34" s="23"/>
      <c r="J34" s="25" t="str">
        <f aca="false">IF(A34="","",IF(LEFT(A34,3)="Pre",0,IFERROR(VALUE(MID(A34,5,FIND(" ",A34&amp;" ",5)-5)),"")))</f>
        <v/>
      </c>
      <c r="K34" s="57" t="str">
        <f aca="false">IF(J34="","",IF(J34=0,"Before trip",IF(TripStart="","",TripStart+J34-1)))</f>
        <v/>
      </c>
      <c r="L34" s="26" t="str">
        <f aca="false">IF(G34="","",IFERROR(INDEX(Contacts!$D$6:$D$45,MATCH(G34,Contacts!$B$6:$B$45,0))&amp;"",""))</f>
        <v/>
      </c>
      <c r="M34" s="60" t="str">
        <f aca="false">IF(OR(J34="",D34=""),"",J34+IF(B34="",0.999,B34)+ROW()/10000000)</f>
        <v/>
      </c>
    </row>
    <row r="35" customFormat="false" ht="15" hidden="false" customHeight="false" outlineLevel="0" collapsed="false">
      <c r="A35" s="23"/>
      <c r="B35" s="62"/>
      <c r="C35" s="23"/>
      <c r="D35" s="23"/>
      <c r="E35" s="23"/>
      <c r="F35" s="23"/>
      <c r="G35" s="23"/>
      <c r="H35" s="23"/>
      <c r="I35" s="23"/>
      <c r="J35" s="25" t="str">
        <f aca="false">IF(A35="","",IF(LEFT(A35,3)="Pre",0,IFERROR(VALUE(MID(A35,5,FIND(" ",A35&amp;" ",5)-5)),"")))</f>
        <v/>
      </c>
      <c r="K35" s="57" t="str">
        <f aca="false">IF(J35="","",IF(J35=0,"Before trip",IF(TripStart="","",TripStart+J35-1)))</f>
        <v/>
      </c>
      <c r="L35" s="26" t="str">
        <f aca="false">IF(G35="","",IFERROR(INDEX(Contacts!$D$6:$D$45,MATCH(G35,Contacts!$B$6:$B$45,0))&amp;"",""))</f>
        <v/>
      </c>
      <c r="M35" s="60" t="str">
        <f aca="false">IF(OR(J35="",D35=""),"",J35+IF(B35="",0.999,B35)+ROW()/10000000)</f>
        <v/>
      </c>
    </row>
    <row r="36" customFormat="false" ht="15" hidden="false" customHeight="false" outlineLevel="0" collapsed="false">
      <c r="A36" s="23"/>
      <c r="B36" s="62"/>
      <c r="C36" s="23"/>
      <c r="D36" s="23"/>
      <c r="E36" s="23"/>
      <c r="F36" s="23"/>
      <c r="G36" s="23"/>
      <c r="H36" s="23"/>
      <c r="I36" s="23"/>
      <c r="J36" s="25" t="str">
        <f aca="false">IF(A36="","",IF(LEFT(A36,3)="Pre",0,IFERROR(VALUE(MID(A36,5,FIND(" ",A36&amp;" ",5)-5)),"")))</f>
        <v/>
      </c>
      <c r="K36" s="57" t="str">
        <f aca="false">IF(J36="","",IF(J36=0,"Before trip",IF(TripStart="","",TripStart+J36-1)))</f>
        <v/>
      </c>
      <c r="L36" s="26" t="str">
        <f aca="false">IF(G36="","",IFERROR(INDEX(Contacts!$D$6:$D$45,MATCH(G36,Contacts!$B$6:$B$45,0))&amp;"",""))</f>
        <v/>
      </c>
      <c r="M36" s="60" t="str">
        <f aca="false">IF(OR(J36="",D36=""),"",J36+IF(B36="",0.999,B36)+ROW()/10000000)</f>
        <v/>
      </c>
    </row>
    <row r="37" customFormat="false" ht="15" hidden="false" customHeight="false" outlineLevel="0" collapsed="false">
      <c r="A37" s="23"/>
      <c r="B37" s="62"/>
      <c r="C37" s="23"/>
      <c r="D37" s="23"/>
      <c r="E37" s="23"/>
      <c r="F37" s="23"/>
      <c r="G37" s="23"/>
      <c r="H37" s="23"/>
      <c r="I37" s="23"/>
      <c r="J37" s="25" t="str">
        <f aca="false">IF(A37="","",IF(LEFT(A37,3)="Pre",0,IFERROR(VALUE(MID(A37,5,FIND(" ",A37&amp;" ",5)-5)),"")))</f>
        <v/>
      </c>
      <c r="K37" s="57" t="str">
        <f aca="false">IF(J37="","",IF(J37=0,"Before trip",IF(TripStart="","",TripStart+J37-1)))</f>
        <v/>
      </c>
      <c r="L37" s="26" t="str">
        <f aca="false">IF(G37="","",IFERROR(INDEX(Contacts!$D$6:$D$45,MATCH(G37,Contacts!$B$6:$B$45,0))&amp;"",""))</f>
        <v/>
      </c>
      <c r="M37" s="60" t="str">
        <f aca="false">IF(OR(J37="",D37=""),"",J37+IF(B37="",0.999,B37)+ROW()/10000000)</f>
        <v/>
      </c>
    </row>
    <row r="38" customFormat="false" ht="15" hidden="false" customHeight="false" outlineLevel="0" collapsed="false">
      <c r="A38" s="23"/>
      <c r="B38" s="62"/>
      <c r="C38" s="23"/>
      <c r="D38" s="23"/>
      <c r="E38" s="23"/>
      <c r="F38" s="23"/>
      <c r="G38" s="23"/>
      <c r="H38" s="23"/>
      <c r="I38" s="23"/>
      <c r="J38" s="25" t="str">
        <f aca="false">IF(A38="","",IF(LEFT(A38,3)="Pre",0,IFERROR(VALUE(MID(A38,5,FIND(" ",A38&amp;" ",5)-5)),"")))</f>
        <v/>
      </c>
      <c r="K38" s="57" t="str">
        <f aca="false">IF(J38="","",IF(J38=0,"Before trip",IF(TripStart="","",TripStart+J38-1)))</f>
        <v/>
      </c>
      <c r="L38" s="26" t="str">
        <f aca="false">IF(G38="","",IFERROR(INDEX(Contacts!$D$6:$D$45,MATCH(G38,Contacts!$B$6:$B$45,0))&amp;"",""))</f>
        <v/>
      </c>
      <c r="M38" s="60" t="str">
        <f aca="false">IF(OR(J38="",D38=""),"",J38+IF(B38="",0.999,B38)+ROW()/10000000)</f>
        <v/>
      </c>
    </row>
    <row r="39" customFormat="false" ht="15" hidden="false" customHeight="false" outlineLevel="0" collapsed="false">
      <c r="A39" s="23"/>
      <c r="B39" s="62"/>
      <c r="C39" s="23"/>
      <c r="D39" s="23"/>
      <c r="E39" s="23"/>
      <c r="F39" s="23"/>
      <c r="G39" s="23"/>
      <c r="H39" s="23"/>
      <c r="I39" s="23"/>
      <c r="J39" s="25" t="str">
        <f aca="false">IF(A39="","",IF(LEFT(A39,3)="Pre",0,IFERROR(VALUE(MID(A39,5,FIND(" ",A39&amp;" ",5)-5)),"")))</f>
        <v/>
      </c>
      <c r="K39" s="57" t="str">
        <f aca="false">IF(J39="","",IF(J39=0,"Before trip",IF(TripStart="","",TripStart+J39-1)))</f>
        <v/>
      </c>
      <c r="L39" s="26" t="str">
        <f aca="false">IF(G39="","",IFERROR(INDEX(Contacts!$D$6:$D$45,MATCH(G39,Contacts!$B$6:$B$45,0))&amp;"",""))</f>
        <v/>
      </c>
      <c r="M39" s="60" t="str">
        <f aca="false">IF(OR(J39="",D39=""),"",J39+IF(B39="",0.999,B39)+ROW()/10000000)</f>
        <v/>
      </c>
    </row>
    <row r="40" customFormat="false" ht="15" hidden="false" customHeight="false" outlineLevel="0" collapsed="false">
      <c r="A40" s="23"/>
      <c r="B40" s="62"/>
      <c r="C40" s="23"/>
      <c r="D40" s="23"/>
      <c r="E40" s="23"/>
      <c r="F40" s="23"/>
      <c r="G40" s="23"/>
      <c r="H40" s="23"/>
      <c r="I40" s="23"/>
      <c r="J40" s="25" t="str">
        <f aca="false">IF(A40="","",IF(LEFT(A40,3)="Pre",0,IFERROR(VALUE(MID(A40,5,FIND(" ",A40&amp;" ",5)-5)),"")))</f>
        <v/>
      </c>
      <c r="K40" s="57" t="str">
        <f aca="false">IF(J40="","",IF(J40=0,"Before trip",IF(TripStart="","",TripStart+J40-1)))</f>
        <v/>
      </c>
      <c r="L40" s="26" t="str">
        <f aca="false">IF(G40="","",IFERROR(INDEX(Contacts!$D$6:$D$45,MATCH(G40,Contacts!$B$6:$B$45,0))&amp;"",""))</f>
        <v/>
      </c>
      <c r="M40" s="60" t="str">
        <f aca="false">IF(OR(J40="",D40=""),"",J40+IF(B40="",0.999,B40)+ROW()/10000000)</f>
        <v/>
      </c>
    </row>
    <row r="41" customFormat="false" ht="15" hidden="false" customHeight="false" outlineLevel="0" collapsed="false">
      <c r="A41" s="23"/>
      <c r="B41" s="62"/>
      <c r="C41" s="23"/>
      <c r="D41" s="23"/>
      <c r="E41" s="23"/>
      <c r="F41" s="23"/>
      <c r="G41" s="23"/>
      <c r="H41" s="23"/>
      <c r="I41" s="23"/>
      <c r="J41" s="25" t="str">
        <f aca="false">IF(A41="","",IF(LEFT(A41,3)="Pre",0,IFERROR(VALUE(MID(A41,5,FIND(" ",A41&amp;" ",5)-5)),"")))</f>
        <v/>
      </c>
      <c r="K41" s="57" t="str">
        <f aca="false">IF(J41="","",IF(J41=0,"Before trip",IF(TripStart="","",TripStart+J41-1)))</f>
        <v/>
      </c>
      <c r="L41" s="26" t="str">
        <f aca="false">IF(G41="","",IFERROR(INDEX(Contacts!$D$6:$D$45,MATCH(G41,Contacts!$B$6:$B$45,0))&amp;"",""))</f>
        <v/>
      </c>
      <c r="M41" s="60" t="str">
        <f aca="false">IF(OR(J41="",D41=""),"",J41+IF(B41="",0.999,B41)+ROW()/10000000)</f>
        <v/>
      </c>
    </row>
    <row r="42" customFormat="false" ht="15" hidden="false" customHeight="false" outlineLevel="0" collapsed="false">
      <c r="A42" s="23"/>
      <c r="B42" s="62"/>
      <c r="C42" s="23"/>
      <c r="D42" s="23"/>
      <c r="E42" s="23"/>
      <c r="F42" s="23"/>
      <c r="G42" s="23"/>
      <c r="H42" s="23"/>
      <c r="I42" s="23"/>
      <c r="J42" s="25" t="str">
        <f aca="false">IF(A42="","",IF(LEFT(A42,3)="Pre",0,IFERROR(VALUE(MID(A42,5,FIND(" ",A42&amp;" ",5)-5)),"")))</f>
        <v/>
      </c>
      <c r="K42" s="57" t="str">
        <f aca="false">IF(J42="","",IF(J42=0,"Before trip",IF(TripStart="","",TripStart+J42-1)))</f>
        <v/>
      </c>
      <c r="L42" s="26" t="str">
        <f aca="false">IF(G42="","",IFERROR(INDEX(Contacts!$D$6:$D$45,MATCH(G42,Contacts!$B$6:$B$45,0))&amp;"",""))</f>
        <v/>
      </c>
      <c r="M42" s="60" t="str">
        <f aca="false">IF(OR(J42="",D42=""),"",J42+IF(B42="",0.999,B42)+ROW()/10000000)</f>
        <v/>
      </c>
    </row>
    <row r="43" customFormat="false" ht="15" hidden="false" customHeight="false" outlineLevel="0" collapsed="false">
      <c r="A43" s="23"/>
      <c r="B43" s="62"/>
      <c r="C43" s="23"/>
      <c r="D43" s="23"/>
      <c r="E43" s="23"/>
      <c r="F43" s="23"/>
      <c r="G43" s="23"/>
      <c r="H43" s="23"/>
      <c r="I43" s="23"/>
      <c r="J43" s="25" t="str">
        <f aca="false">IF(A43="","",IF(LEFT(A43,3)="Pre",0,IFERROR(VALUE(MID(A43,5,FIND(" ",A43&amp;" ",5)-5)),"")))</f>
        <v/>
      </c>
      <c r="K43" s="57" t="str">
        <f aca="false">IF(J43="","",IF(J43=0,"Before trip",IF(TripStart="","",TripStart+J43-1)))</f>
        <v/>
      </c>
      <c r="L43" s="26" t="str">
        <f aca="false">IF(G43="","",IFERROR(INDEX(Contacts!$D$6:$D$45,MATCH(G43,Contacts!$B$6:$B$45,0))&amp;"",""))</f>
        <v/>
      </c>
      <c r="M43" s="60" t="str">
        <f aca="false">IF(OR(J43="",D43=""),"",J43+IF(B43="",0.999,B43)+ROW()/10000000)</f>
        <v/>
      </c>
    </row>
    <row r="44" customFormat="false" ht="15" hidden="false" customHeight="false" outlineLevel="0" collapsed="false">
      <c r="A44" s="23"/>
      <c r="B44" s="62"/>
      <c r="C44" s="23"/>
      <c r="D44" s="23"/>
      <c r="E44" s="23"/>
      <c r="F44" s="23"/>
      <c r="G44" s="23"/>
      <c r="H44" s="23"/>
      <c r="I44" s="23"/>
      <c r="J44" s="25" t="str">
        <f aca="false">IF(A44="","",IF(LEFT(A44,3)="Pre",0,IFERROR(VALUE(MID(A44,5,FIND(" ",A44&amp;" ",5)-5)),"")))</f>
        <v/>
      </c>
      <c r="K44" s="57" t="str">
        <f aca="false">IF(J44="","",IF(J44=0,"Before trip",IF(TripStart="","",TripStart+J44-1)))</f>
        <v/>
      </c>
      <c r="L44" s="26" t="str">
        <f aca="false">IF(G44="","",IFERROR(INDEX(Contacts!$D$6:$D$45,MATCH(G44,Contacts!$B$6:$B$45,0))&amp;"",""))</f>
        <v/>
      </c>
      <c r="M44" s="60" t="str">
        <f aca="false">IF(OR(J44="",D44=""),"",J44+IF(B44="",0.999,B44)+ROW()/10000000)</f>
        <v/>
      </c>
    </row>
    <row r="45" customFormat="false" ht="15" hidden="false" customHeight="false" outlineLevel="0" collapsed="false">
      <c r="A45" s="23"/>
      <c r="B45" s="62"/>
      <c r="C45" s="23"/>
      <c r="D45" s="23"/>
      <c r="E45" s="23"/>
      <c r="F45" s="23"/>
      <c r="G45" s="23"/>
      <c r="H45" s="23"/>
      <c r="I45" s="23"/>
      <c r="J45" s="25" t="str">
        <f aca="false">IF(A45="","",IF(LEFT(A45,3)="Pre",0,IFERROR(VALUE(MID(A45,5,FIND(" ",A45&amp;" ",5)-5)),"")))</f>
        <v/>
      </c>
      <c r="K45" s="57" t="str">
        <f aca="false">IF(J45="","",IF(J45=0,"Before trip",IF(TripStart="","",TripStart+J45-1)))</f>
        <v/>
      </c>
      <c r="L45" s="26" t="str">
        <f aca="false">IF(G45="","",IFERROR(INDEX(Contacts!$D$6:$D$45,MATCH(G45,Contacts!$B$6:$B$45,0))&amp;"",""))</f>
        <v/>
      </c>
      <c r="M45" s="60" t="str">
        <f aca="false">IF(OR(J45="",D45=""),"",J45+IF(B45="",0.999,B45)+ROW()/10000000)</f>
        <v/>
      </c>
    </row>
    <row r="46" customFormat="false" ht="15" hidden="false" customHeight="false" outlineLevel="0" collapsed="false">
      <c r="A46" s="23"/>
      <c r="B46" s="62"/>
      <c r="C46" s="23"/>
      <c r="D46" s="23"/>
      <c r="E46" s="23"/>
      <c r="F46" s="23"/>
      <c r="G46" s="23"/>
      <c r="H46" s="23"/>
      <c r="I46" s="23"/>
      <c r="J46" s="25" t="str">
        <f aca="false">IF(A46="","",IF(LEFT(A46,3)="Pre",0,IFERROR(VALUE(MID(A46,5,FIND(" ",A46&amp;" ",5)-5)),"")))</f>
        <v/>
      </c>
      <c r="K46" s="57" t="str">
        <f aca="false">IF(J46="","",IF(J46=0,"Before trip",IF(TripStart="","",TripStart+J46-1)))</f>
        <v/>
      </c>
      <c r="L46" s="26" t="str">
        <f aca="false">IF(G46="","",IFERROR(INDEX(Contacts!$D$6:$D$45,MATCH(G46,Contacts!$B$6:$B$45,0))&amp;"",""))</f>
        <v/>
      </c>
      <c r="M46" s="60" t="str">
        <f aca="false">IF(OR(J46="",D46=""),"",J46+IF(B46="",0.999,B46)+ROW()/10000000)</f>
        <v/>
      </c>
    </row>
    <row r="47" customFormat="false" ht="15" hidden="false" customHeight="false" outlineLevel="0" collapsed="false">
      <c r="A47" s="23"/>
      <c r="B47" s="62"/>
      <c r="C47" s="23"/>
      <c r="D47" s="23"/>
      <c r="E47" s="23"/>
      <c r="F47" s="23"/>
      <c r="G47" s="23"/>
      <c r="H47" s="23"/>
      <c r="I47" s="23"/>
      <c r="J47" s="25" t="str">
        <f aca="false">IF(A47="","",IF(LEFT(A47,3)="Pre",0,IFERROR(VALUE(MID(A47,5,FIND(" ",A47&amp;" ",5)-5)),"")))</f>
        <v/>
      </c>
      <c r="K47" s="57" t="str">
        <f aca="false">IF(J47="","",IF(J47=0,"Before trip",IF(TripStart="","",TripStart+J47-1)))</f>
        <v/>
      </c>
      <c r="L47" s="26" t="str">
        <f aca="false">IF(G47="","",IFERROR(INDEX(Contacts!$D$6:$D$45,MATCH(G47,Contacts!$B$6:$B$45,0))&amp;"",""))</f>
        <v/>
      </c>
      <c r="M47" s="60" t="str">
        <f aca="false">IF(OR(J47="",D47=""),"",J47+IF(B47="",0.999,B47)+ROW()/10000000)</f>
        <v/>
      </c>
    </row>
    <row r="48" customFormat="false" ht="15" hidden="false" customHeight="false" outlineLevel="0" collapsed="false">
      <c r="A48" s="23"/>
      <c r="B48" s="62"/>
      <c r="C48" s="23"/>
      <c r="D48" s="23"/>
      <c r="E48" s="23"/>
      <c r="F48" s="23"/>
      <c r="G48" s="23"/>
      <c r="H48" s="23"/>
      <c r="I48" s="23"/>
      <c r="J48" s="25" t="str">
        <f aca="false">IF(A48="","",IF(LEFT(A48,3)="Pre",0,IFERROR(VALUE(MID(A48,5,FIND(" ",A48&amp;" ",5)-5)),"")))</f>
        <v/>
      </c>
      <c r="K48" s="57" t="str">
        <f aca="false">IF(J48="","",IF(J48=0,"Before trip",IF(TripStart="","",TripStart+J48-1)))</f>
        <v/>
      </c>
      <c r="L48" s="26" t="str">
        <f aca="false">IF(G48="","",IFERROR(INDEX(Contacts!$D$6:$D$45,MATCH(G48,Contacts!$B$6:$B$45,0))&amp;"",""))</f>
        <v/>
      </c>
      <c r="M48" s="60" t="str">
        <f aca="false">IF(OR(J48="",D48=""),"",J48+IF(B48="",0.999,B48)+ROW()/10000000)</f>
        <v/>
      </c>
    </row>
    <row r="49" customFormat="false" ht="15" hidden="false" customHeight="false" outlineLevel="0" collapsed="false">
      <c r="A49" s="23"/>
      <c r="B49" s="62"/>
      <c r="C49" s="23"/>
      <c r="D49" s="23"/>
      <c r="E49" s="23"/>
      <c r="F49" s="23"/>
      <c r="G49" s="23"/>
      <c r="H49" s="23"/>
      <c r="I49" s="23"/>
      <c r="J49" s="25" t="str">
        <f aca="false">IF(A49="","",IF(LEFT(A49,3)="Pre",0,IFERROR(VALUE(MID(A49,5,FIND(" ",A49&amp;" ",5)-5)),"")))</f>
        <v/>
      </c>
      <c r="K49" s="57" t="str">
        <f aca="false">IF(J49="","",IF(J49=0,"Before trip",IF(TripStart="","",TripStart+J49-1)))</f>
        <v/>
      </c>
      <c r="L49" s="26" t="str">
        <f aca="false">IF(G49="","",IFERROR(INDEX(Contacts!$D$6:$D$45,MATCH(G49,Contacts!$B$6:$B$45,0))&amp;"",""))</f>
        <v/>
      </c>
      <c r="M49" s="60" t="str">
        <f aca="false">IF(OR(J49="",D49=""),"",J49+IF(B49="",0.999,B49)+ROW()/10000000)</f>
        <v/>
      </c>
    </row>
    <row r="50" customFormat="false" ht="15" hidden="false" customHeight="false" outlineLevel="0" collapsed="false">
      <c r="A50" s="23"/>
      <c r="B50" s="62"/>
      <c r="C50" s="23"/>
      <c r="D50" s="23"/>
      <c r="E50" s="23"/>
      <c r="F50" s="23"/>
      <c r="G50" s="23"/>
      <c r="H50" s="23"/>
      <c r="I50" s="23"/>
      <c r="J50" s="25" t="str">
        <f aca="false">IF(A50="","",IF(LEFT(A50,3)="Pre",0,IFERROR(VALUE(MID(A50,5,FIND(" ",A50&amp;" ",5)-5)),"")))</f>
        <v/>
      </c>
      <c r="K50" s="57" t="str">
        <f aca="false">IF(J50="","",IF(J50=0,"Before trip",IF(TripStart="","",TripStart+J50-1)))</f>
        <v/>
      </c>
      <c r="L50" s="26" t="str">
        <f aca="false">IF(G50="","",IFERROR(INDEX(Contacts!$D$6:$D$45,MATCH(G50,Contacts!$B$6:$B$45,0))&amp;"",""))</f>
        <v/>
      </c>
      <c r="M50" s="60" t="str">
        <f aca="false">IF(OR(J50="",D50=""),"",J50+IF(B50="",0.999,B50)+ROW()/10000000)</f>
        <v/>
      </c>
    </row>
    <row r="51" customFormat="false" ht="15" hidden="false" customHeight="false" outlineLevel="0" collapsed="false">
      <c r="A51" s="23"/>
      <c r="B51" s="62"/>
      <c r="C51" s="23"/>
      <c r="D51" s="23"/>
      <c r="E51" s="23"/>
      <c r="F51" s="23"/>
      <c r="G51" s="23"/>
      <c r="H51" s="23"/>
      <c r="I51" s="23"/>
      <c r="J51" s="25" t="str">
        <f aca="false">IF(A51="","",IF(LEFT(A51,3)="Pre",0,IFERROR(VALUE(MID(A51,5,FIND(" ",A51&amp;" ",5)-5)),"")))</f>
        <v/>
      </c>
      <c r="K51" s="57" t="str">
        <f aca="false">IF(J51="","",IF(J51=0,"Before trip",IF(TripStart="","",TripStart+J51-1)))</f>
        <v/>
      </c>
      <c r="L51" s="26" t="str">
        <f aca="false">IF(G51="","",IFERROR(INDEX(Contacts!$D$6:$D$45,MATCH(G51,Contacts!$B$6:$B$45,0))&amp;"",""))</f>
        <v/>
      </c>
      <c r="M51" s="60" t="str">
        <f aca="false">IF(OR(J51="",D51=""),"",J51+IF(B51="",0.999,B51)+ROW()/10000000)</f>
        <v/>
      </c>
    </row>
    <row r="52" customFormat="false" ht="15" hidden="false" customHeight="false" outlineLevel="0" collapsed="false">
      <c r="A52" s="23"/>
      <c r="B52" s="62"/>
      <c r="C52" s="23"/>
      <c r="D52" s="23"/>
      <c r="E52" s="23"/>
      <c r="F52" s="23"/>
      <c r="G52" s="23"/>
      <c r="H52" s="23"/>
      <c r="I52" s="23"/>
      <c r="J52" s="25" t="str">
        <f aca="false">IF(A52="","",IF(LEFT(A52,3)="Pre",0,IFERROR(VALUE(MID(A52,5,FIND(" ",A52&amp;" ",5)-5)),"")))</f>
        <v/>
      </c>
      <c r="K52" s="57" t="str">
        <f aca="false">IF(J52="","",IF(J52=0,"Before trip",IF(TripStart="","",TripStart+J52-1)))</f>
        <v/>
      </c>
      <c r="L52" s="26" t="str">
        <f aca="false">IF(G52="","",IFERROR(INDEX(Contacts!$D$6:$D$45,MATCH(G52,Contacts!$B$6:$B$45,0))&amp;"",""))</f>
        <v/>
      </c>
      <c r="M52" s="60" t="str">
        <f aca="false">IF(OR(J52="",D52=""),"",J52+IF(B52="",0.999,B52)+ROW()/10000000)</f>
        <v/>
      </c>
    </row>
    <row r="53" customFormat="false" ht="15" hidden="false" customHeight="false" outlineLevel="0" collapsed="false">
      <c r="A53" s="23"/>
      <c r="B53" s="62"/>
      <c r="C53" s="23"/>
      <c r="D53" s="23"/>
      <c r="E53" s="23"/>
      <c r="F53" s="23"/>
      <c r="G53" s="23"/>
      <c r="H53" s="23"/>
      <c r="I53" s="23"/>
      <c r="J53" s="25" t="str">
        <f aca="false">IF(A53="","",IF(LEFT(A53,3)="Pre",0,IFERROR(VALUE(MID(A53,5,FIND(" ",A53&amp;" ",5)-5)),"")))</f>
        <v/>
      </c>
      <c r="K53" s="57" t="str">
        <f aca="false">IF(J53="","",IF(J53=0,"Before trip",IF(TripStart="","",TripStart+J53-1)))</f>
        <v/>
      </c>
      <c r="L53" s="26" t="str">
        <f aca="false">IF(G53="","",IFERROR(INDEX(Contacts!$D$6:$D$45,MATCH(G53,Contacts!$B$6:$B$45,0))&amp;"",""))</f>
        <v/>
      </c>
      <c r="M53" s="60" t="str">
        <f aca="false">IF(OR(J53="",D53=""),"",J53+IF(B53="",0.999,B53)+ROW()/10000000)</f>
        <v/>
      </c>
    </row>
    <row r="54" customFormat="false" ht="15" hidden="false" customHeight="false" outlineLevel="0" collapsed="false">
      <c r="A54" s="23"/>
      <c r="B54" s="62"/>
      <c r="C54" s="23"/>
      <c r="D54" s="23"/>
      <c r="E54" s="23"/>
      <c r="F54" s="23"/>
      <c r="G54" s="23"/>
      <c r="H54" s="23"/>
      <c r="I54" s="23"/>
      <c r="J54" s="25" t="str">
        <f aca="false">IF(A54="","",IF(LEFT(A54,3)="Pre",0,IFERROR(VALUE(MID(A54,5,FIND(" ",A54&amp;" ",5)-5)),"")))</f>
        <v/>
      </c>
      <c r="K54" s="57" t="str">
        <f aca="false">IF(J54="","",IF(J54=0,"Before trip",IF(TripStart="","",TripStart+J54-1)))</f>
        <v/>
      </c>
      <c r="L54" s="26" t="str">
        <f aca="false">IF(G54="","",IFERROR(INDEX(Contacts!$D$6:$D$45,MATCH(G54,Contacts!$B$6:$B$45,0))&amp;"",""))</f>
        <v/>
      </c>
      <c r="M54" s="60" t="str">
        <f aca="false">IF(OR(J54="",D54=""),"",J54+IF(B54="",0.999,B54)+ROW()/10000000)</f>
        <v/>
      </c>
    </row>
    <row r="55" customFormat="false" ht="15" hidden="false" customHeight="false" outlineLevel="0" collapsed="false">
      <c r="A55" s="23"/>
      <c r="B55" s="62"/>
      <c r="C55" s="23"/>
      <c r="D55" s="23"/>
      <c r="E55" s="23"/>
      <c r="F55" s="23"/>
      <c r="G55" s="23"/>
      <c r="H55" s="23"/>
      <c r="I55" s="23"/>
      <c r="J55" s="25" t="str">
        <f aca="false">IF(A55="","",IF(LEFT(A55,3)="Pre",0,IFERROR(VALUE(MID(A55,5,FIND(" ",A55&amp;" ",5)-5)),"")))</f>
        <v/>
      </c>
      <c r="K55" s="57" t="str">
        <f aca="false">IF(J55="","",IF(J55=0,"Before trip",IF(TripStart="","",TripStart+J55-1)))</f>
        <v/>
      </c>
      <c r="L55" s="26" t="str">
        <f aca="false">IF(G55="","",IFERROR(INDEX(Contacts!$D$6:$D$45,MATCH(G55,Contacts!$B$6:$B$45,0))&amp;"",""))</f>
        <v/>
      </c>
      <c r="M55" s="60" t="str">
        <f aca="false">IF(OR(J55="",D55=""),"",J55+IF(B55="",0.999,B55)+ROW()/10000000)</f>
        <v/>
      </c>
    </row>
    <row r="56" customFormat="false" ht="15" hidden="false" customHeight="false" outlineLevel="0" collapsed="false">
      <c r="A56" s="23"/>
      <c r="B56" s="62"/>
      <c r="C56" s="23"/>
      <c r="D56" s="23"/>
      <c r="E56" s="23"/>
      <c r="F56" s="23"/>
      <c r="G56" s="23"/>
      <c r="H56" s="23"/>
      <c r="I56" s="23"/>
      <c r="J56" s="25" t="str">
        <f aca="false">IF(A56="","",IF(LEFT(A56,3)="Pre",0,IFERROR(VALUE(MID(A56,5,FIND(" ",A56&amp;" ",5)-5)),"")))</f>
        <v/>
      </c>
      <c r="K56" s="57" t="str">
        <f aca="false">IF(J56="","",IF(J56=0,"Before trip",IF(TripStart="","",TripStart+J56-1)))</f>
        <v/>
      </c>
      <c r="L56" s="26" t="str">
        <f aca="false">IF(G56="","",IFERROR(INDEX(Contacts!$D$6:$D$45,MATCH(G56,Contacts!$B$6:$B$45,0))&amp;"",""))</f>
        <v/>
      </c>
      <c r="M56" s="60" t="str">
        <f aca="false">IF(OR(J56="",D56=""),"",J56+IF(B56="",0.999,B56)+ROW()/10000000)</f>
        <v/>
      </c>
    </row>
    <row r="57" customFormat="false" ht="15" hidden="false" customHeight="false" outlineLevel="0" collapsed="false">
      <c r="A57" s="23"/>
      <c r="B57" s="62"/>
      <c r="C57" s="23"/>
      <c r="D57" s="23"/>
      <c r="E57" s="23"/>
      <c r="F57" s="23"/>
      <c r="G57" s="23"/>
      <c r="H57" s="23"/>
      <c r="I57" s="23"/>
      <c r="J57" s="25" t="str">
        <f aca="false">IF(A57="","",IF(LEFT(A57,3)="Pre",0,IFERROR(VALUE(MID(A57,5,FIND(" ",A57&amp;" ",5)-5)),"")))</f>
        <v/>
      </c>
      <c r="K57" s="57" t="str">
        <f aca="false">IF(J57="","",IF(J57=0,"Before trip",IF(TripStart="","",TripStart+J57-1)))</f>
        <v/>
      </c>
      <c r="L57" s="26" t="str">
        <f aca="false">IF(G57="","",IFERROR(INDEX(Contacts!$D$6:$D$45,MATCH(G57,Contacts!$B$6:$B$45,0))&amp;"",""))</f>
        <v/>
      </c>
      <c r="M57" s="60" t="str">
        <f aca="false">IF(OR(J57="",D57=""),"",J57+IF(B57="",0.999,B57)+ROW()/10000000)</f>
        <v/>
      </c>
    </row>
    <row r="58" customFormat="false" ht="15" hidden="false" customHeight="false" outlineLevel="0" collapsed="false">
      <c r="A58" s="23"/>
      <c r="B58" s="62"/>
      <c r="C58" s="23"/>
      <c r="D58" s="23"/>
      <c r="E58" s="23"/>
      <c r="F58" s="23"/>
      <c r="G58" s="23"/>
      <c r="H58" s="23"/>
      <c r="I58" s="23"/>
      <c r="J58" s="25" t="str">
        <f aca="false">IF(A58="","",IF(LEFT(A58,3)="Pre",0,IFERROR(VALUE(MID(A58,5,FIND(" ",A58&amp;" ",5)-5)),"")))</f>
        <v/>
      </c>
      <c r="K58" s="57" t="str">
        <f aca="false">IF(J58="","",IF(J58=0,"Before trip",IF(TripStart="","",TripStart+J58-1)))</f>
        <v/>
      </c>
      <c r="L58" s="26" t="str">
        <f aca="false">IF(G58="","",IFERROR(INDEX(Contacts!$D$6:$D$45,MATCH(G58,Contacts!$B$6:$B$45,0))&amp;"",""))</f>
        <v/>
      </c>
      <c r="M58" s="60" t="str">
        <f aca="false">IF(OR(J58="",D58=""),"",J58+IF(B58="",0.999,B58)+ROW()/10000000)</f>
        <v/>
      </c>
    </row>
    <row r="59" customFormat="false" ht="15" hidden="false" customHeight="false" outlineLevel="0" collapsed="false">
      <c r="A59" s="23"/>
      <c r="B59" s="62"/>
      <c r="C59" s="23"/>
      <c r="D59" s="23"/>
      <c r="E59" s="23"/>
      <c r="F59" s="23"/>
      <c r="G59" s="23"/>
      <c r="H59" s="23"/>
      <c r="I59" s="23"/>
      <c r="J59" s="25" t="str">
        <f aca="false">IF(A59="","",IF(LEFT(A59,3)="Pre",0,IFERROR(VALUE(MID(A59,5,FIND(" ",A59&amp;" ",5)-5)),"")))</f>
        <v/>
      </c>
      <c r="K59" s="57" t="str">
        <f aca="false">IF(J59="","",IF(J59=0,"Before trip",IF(TripStart="","",TripStart+J59-1)))</f>
        <v/>
      </c>
      <c r="L59" s="26" t="str">
        <f aca="false">IF(G59="","",IFERROR(INDEX(Contacts!$D$6:$D$45,MATCH(G59,Contacts!$B$6:$B$45,0))&amp;"",""))</f>
        <v/>
      </c>
      <c r="M59" s="60" t="str">
        <f aca="false">IF(OR(J59="",D59=""),"",J59+IF(B59="",0.999,B59)+ROW()/10000000)</f>
        <v/>
      </c>
    </row>
    <row r="60" customFormat="false" ht="15" hidden="false" customHeight="false" outlineLevel="0" collapsed="false">
      <c r="A60" s="23"/>
      <c r="B60" s="62"/>
      <c r="C60" s="23"/>
      <c r="D60" s="23"/>
      <c r="E60" s="23"/>
      <c r="F60" s="23"/>
      <c r="G60" s="23"/>
      <c r="H60" s="23"/>
      <c r="I60" s="23"/>
      <c r="J60" s="25" t="str">
        <f aca="false">IF(A60="","",IF(LEFT(A60,3)="Pre",0,IFERROR(VALUE(MID(A60,5,FIND(" ",A60&amp;" ",5)-5)),"")))</f>
        <v/>
      </c>
      <c r="K60" s="57" t="str">
        <f aca="false">IF(J60="","",IF(J60=0,"Before trip",IF(TripStart="","",TripStart+J60-1)))</f>
        <v/>
      </c>
      <c r="L60" s="26" t="str">
        <f aca="false">IF(G60="","",IFERROR(INDEX(Contacts!$D$6:$D$45,MATCH(G60,Contacts!$B$6:$B$45,0))&amp;"",""))</f>
        <v/>
      </c>
      <c r="M60" s="60" t="str">
        <f aca="false">IF(OR(J60="",D60=""),"",J60+IF(B60="",0.999,B60)+ROW()/10000000)</f>
        <v/>
      </c>
    </row>
    <row r="61" customFormat="false" ht="15" hidden="false" customHeight="false" outlineLevel="0" collapsed="false">
      <c r="A61" s="23"/>
      <c r="B61" s="62"/>
      <c r="C61" s="23"/>
      <c r="D61" s="23"/>
      <c r="E61" s="23"/>
      <c r="F61" s="23"/>
      <c r="G61" s="23"/>
      <c r="H61" s="23"/>
      <c r="I61" s="23"/>
      <c r="J61" s="25" t="str">
        <f aca="false">IF(A61="","",IF(LEFT(A61,3)="Pre",0,IFERROR(VALUE(MID(A61,5,FIND(" ",A61&amp;" ",5)-5)),"")))</f>
        <v/>
      </c>
      <c r="K61" s="57" t="str">
        <f aca="false">IF(J61="","",IF(J61=0,"Before trip",IF(TripStart="","",TripStart+J61-1)))</f>
        <v/>
      </c>
      <c r="L61" s="26" t="str">
        <f aca="false">IF(G61="","",IFERROR(INDEX(Contacts!$D$6:$D$45,MATCH(G61,Contacts!$B$6:$B$45,0))&amp;"",""))</f>
        <v/>
      </c>
      <c r="M61" s="60" t="str">
        <f aca="false">IF(OR(J61="",D61=""),"",J61+IF(B61="",0.999,B61)+ROW()/10000000)</f>
        <v/>
      </c>
    </row>
    <row r="62" customFormat="false" ht="15" hidden="false" customHeight="false" outlineLevel="0" collapsed="false">
      <c r="A62" s="23"/>
      <c r="B62" s="62"/>
      <c r="C62" s="23"/>
      <c r="D62" s="23"/>
      <c r="E62" s="23"/>
      <c r="F62" s="23"/>
      <c r="G62" s="23"/>
      <c r="H62" s="23"/>
      <c r="I62" s="23"/>
      <c r="J62" s="25" t="str">
        <f aca="false">IF(A62="","",IF(LEFT(A62,3)="Pre",0,IFERROR(VALUE(MID(A62,5,FIND(" ",A62&amp;" ",5)-5)),"")))</f>
        <v/>
      </c>
      <c r="K62" s="57" t="str">
        <f aca="false">IF(J62="","",IF(J62=0,"Before trip",IF(TripStart="","",TripStart+J62-1)))</f>
        <v/>
      </c>
      <c r="L62" s="26" t="str">
        <f aca="false">IF(G62="","",IFERROR(INDEX(Contacts!$D$6:$D$45,MATCH(G62,Contacts!$B$6:$B$45,0))&amp;"",""))</f>
        <v/>
      </c>
      <c r="M62" s="60" t="str">
        <f aca="false">IF(OR(J62="",D62=""),"",J62+IF(B62="",0.999,B62)+ROW()/10000000)</f>
        <v/>
      </c>
    </row>
    <row r="63" customFormat="false" ht="15" hidden="false" customHeight="false" outlineLevel="0" collapsed="false">
      <c r="A63" s="23"/>
      <c r="B63" s="62"/>
      <c r="C63" s="23"/>
      <c r="D63" s="23"/>
      <c r="E63" s="23"/>
      <c r="F63" s="23"/>
      <c r="G63" s="23"/>
      <c r="H63" s="23"/>
      <c r="I63" s="23"/>
      <c r="J63" s="25" t="str">
        <f aca="false">IF(A63="","",IF(LEFT(A63,3)="Pre",0,IFERROR(VALUE(MID(A63,5,FIND(" ",A63&amp;" ",5)-5)),"")))</f>
        <v/>
      </c>
      <c r="K63" s="57" t="str">
        <f aca="false">IF(J63="","",IF(J63=0,"Before trip",IF(TripStart="","",TripStart+J63-1)))</f>
        <v/>
      </c>
      <c r="L63" s="26" t="str">
        <f aca="false">IF(G63="","",IFERROR(INDEX(Contacts!$D$6:$D$45,MATCH(G63,Contacts!$B$6:$B$45,0))&amp;"",""))</f>
        <v/>
      </c>
      <c r="M63" s="60" t="str">
        <f aca="false">IF(OR(J63="",D63=""),"",J63+IF(B63="",0.999,B63)+ROW()/10000000)</f>
        <v/>
      </c>
    </row>
    <row r="64" customFormat="false" ht="15" hidden="false" customHeight="false" outlineLevel="0" collapsed="false">
      <c r="A64" s="23"/>
      <c r="B64" s="62"/>
      <c r="C64" s="23"/>
      <c r="D64" s="23"/>
      <c r="E64" s="23"/>
      <c r="F64" s="23"/>
      <c r="G64" s="23"/>
      <c r="H64" s="23"/>
      <c r="I64" s="23"/>
      <c r="J64" s="25" t="str">
        <f aca="false">IF(A64="","",IF(LEFT(A64,3)="Pre",0,IFERROR(VALUE(MID(A64,5,FIND(" ",A64&amp;" ",5)-5)),"")))</f>
        <v/>
      </c>
      <c r="K64" s="57" t="str">
        <f aca="false">IF(J64="","",IF(J64=0,"Before trip",IF(TripStart="","",TripStart+J64-1)))</f>
        <v/>
      </c>
      <c r="L64" s="26" t="str">
        <f aca="false">IF(G64="","",IFERROR(INDEX(Contacts!$D$6:$D$45,MATCH(G64,Contacts!$B$6:$B$45,0))&amp;"",""))</f>
        <v/>
      </c>
      <c r="M64" s="60" t="str">
        <f aca="false">IF(OR(J64="",D64=""),"",J64+IF(B64="",0.999,B64)+ROW()/10000000)</f>
        <v/>
      </c>
    </row>
    <row r="65" customFormat="false" ht="15" hidden="false" customHeight="false" outlineLevel="0" collapsed="false">
      <c r="A65" s="23"/>
      <c r="B65" s="62"/>
      <c r="C65" s="23"/>
      <c r="D65" s="23"/>
      <c r="E65" s="23"/>
      <c r="F65" s="23"/>
      <c r="G65" s="23"/>
      <c r="H65" s="23"/>
      <c r="I65" s="23"/>
      <c r="J65" s="25" t="str">
        <f aca="false">IF(A65="","",IF(LEFT(A65,3)="Pre",0,IFERROR(VALUE(MID(A65,5,FIND(" ",A65&amp;" ",5)-5)),"")))</f>
        <v/>
      </c>
      <c r="K65" s="57" t="str">
        <f aca="false">IF(J65="","",IF(J65=0,"Before trip",IF(TripStart="","",TripStart+J65-1)))</f>
        <v/>
      </c>
      <c r="L65" s="26" t="str">
        <f aca="false">IF(G65="","",IFERROR(INDEX(Contacts!$D$6:$D$45,MATCH(G65,Contacts!$B$6:$B$45,0))&amp;"",""))</f>
        <v/>
      </c>
      <c r="M65" s="60" t="str">
        <f aca="false">IF(OR(J65="",D65=""),"",J65+IF(B65="",0.999,B65)+ROW()/10000000)</f>
        <v/>
      </c>
    </row>
    <row r="66" customFormat="false" ht="15" hidden="false" customHeight="false" outlineLevel="0" collapsed="false">
      <c r="A66" s="23"/>
      <c r="B66" s="62"/>
      <c r="C66" s="23"/>
      <c r="D66" s="23"/>
      <c r="E66" s="23"/>
      <c r="F66" s="23"/>
      <c r="G66" s="23"/>
      <c r="H66" s="23"/>
      <c r="I66" s="23"/>
      <c r="J66" s="25" t="str">
        <f aca="false">IF(A66="","",IF(LEFT(A66,3)="Pre",0,IFERROR(VALUE(MID(A66,5,FIND(" ",A66&amp;" ",5)-5)),"")))</f>
        <v/>
      </c>
      <c r="K66" s="57" t="str">
        <f aca="false">IF(J66="","",IF(J66=0,"Before trip",IF(TripStart="","",TripStart+J66-1)))</f>
        <v/>
      </c>
      <c r="L66" s="26" t="str">
        <f aca="false">IF(G66="","",IFERROR(INDEX(Contacts!$D$6:$D$45,MATCH(G66,Contacts!$B$6:$B$45,0))&amp;"",""))</f>
        <v/>
      </c>
      <c r="M66" s="60" t="str">
        <f aca="false">IF(OR(J66="",D66=""),"",J66+IF(B66="",0.999,B66)+ROW()/10000000)</f>
        <v/>
      </c>
    </row>
    <row r="67" customFormat="false" ht="15" hidden="false" customHeight="false" outlineLevel="0" collapsed="false">
      <c r="A67" s="23"/>
      <c r="B67" s="62"/>
      <c r="C67" s="23"/>
      <c r="D67" s="23"/>
      <c r="E67" s="23"/>
      <c r="F67" s="23"/>
      <c r="G67" s="23"/>
      <c r="H67" s="23"/>
      <c r="I67" s="23"/>
      <c r="J67" s="25" t="str">
        <f aca="false">IF(A67="","",IF(LEFT(A67,3)="Pre",0,IFERROR(VALUE(MID(A67,5,FIND(" ",A67&amp;" ",5)-5)),"")))</f>
        <v/>
      </c>
      <c r="K67" s="57" t="str">
        <f aca="false">IF(J67="","",IF(J67=0,"Before trip",IF(TripStart="","",TripStart+J67-1)))</f>
        <v/>
      </c>
      <c r="L67" s="26" t="str">
        <f aca="false">IF(G67="","",IFERROR(INDEX(Contacts!$D$6:$D$45,MATCH(G67,Contacts!$B$6:$B$45,0))&amp;"",""))</f>
        <v/>
      </c>
      <c r="M67" s="60" t="str">
        <f aca="false">IF(OR(J67="",D67=""),"",J67+IF(B67="",0.999,B67)+ROW()/10000000)</f>
        <v/>
      </c>
    </row>
    <row r="68" customFormat="false" ht="15" hidden="false" customHeight="false" outlineLevel="0" collapsed="false">
      <c r="A68" s="23"/>
      <c r="B68" s="62"/>
      <c r="C68" s="23"/>
      <c r="D68" s="23"/>
      <c r="E68" s="23"/>
      <c r="F68" s="23"/>
      <c r="G68" s="23"/>
      <c r="H68" s="23"/>
      <c r="I68" s="23"/>
      <c r="J68" s="25" t="str">
        <f aca="false">IF(A68="","",IF(LEFT(A68,3)="Pre",0,IFERROR(VALUE(MID(A68,5,FIND(" ",A68&amp;" ",5)-5)),"")))</f>
        <v/>
      </c>
      <c r="K68" s="57" t="str">
        <f aca="false">IF(J68="","",IF(J68=0,"Before trip",IF(TripStart="","",TripStart+J68-1)))</f>
        <v/>
      </c>
      <c r="L68" s="26" t="str">
        <f aca="false">IF(G68="","",IFERROR(INDEX(Contacts!$D$6:$D$45,MATCH(G68,Contacts!$B$6:$B$45,0))&amp;"",""))</f>
        <v/>
      </c>
      <c r="M68" s="60" t="str">
        <f aca="false">IF(OR(J68="",D68=""),"",J68+IF(B68="",0.999,B68)+ROW()/10000000)</f>
        <v/>
      </c>
    </row>
    <row r="69" customFormat="false" ht="15" hidden="false" customHeight="false" outlineLevel="0" collapsed="false">
      <c r="A69" s="23"/>
      <c r="B69" s="62"/>
      <c r="C69" s="23"/>
      <c r="D69" s="23"/>
      <c r="E69" s="23"/>
      <c r="F69" s="23"/>
      <c r="G69" s="23"/>
      <c r="H69" s="23"/>
      <c r="I69" s="23"/>
      <c r="J69" s="25" t="str">
        <f aca="false">IF(A69="","",IF(LEFT(A69,3)="Pre",0,IFERROR(VALUE(MID(A69,5,FIND(" ",A69&amp;" ",5)-5)),"")))</f>
        <v/>
      </c>
      <c r="K69" s="57" t="str">
        <f aca="false">IF(J69="","",IF(J69=0,"Before trip",IF(TripStart="","",TripStart+J69-1)))</f>
        <v/>
      </c>
      <c r="L69" s="26" t="str">
        <f aca="false">IF(G69="","",IFERROR(INDEX(Contacts!$D$6:$D$45,MATCH(G69,Contacts!$B$6:$B$45,0))&amp;"",""))</f>
        <v/>
      </c>
      <c r="M69" s="60" t="str">
        <f aca="false">IF(OR(J69="",D69=""),"",J69+IF(B69="",0.999,B69)+ROW()/10000000)</f>
        <v/>
      </c>
    </row>
    <row r="70" customFormat="false" ht="15" hidden="false" customHeight="false" outlineLevel="0" collapsed="false">
      <c r="A70" s="23"/>
      <c r="B70" s="62"/>
      <c r="C70" s="23"/>
      <c r="D70" s="23"/>
      <c r="E70" s="23"/>
      <c r="F70" s="23"/>
      <c r="G70" s="23"/>
      <c r="H70" s="23"/>
      <c r="I70" s="23"/>
      <c r="J70" s="25" t="str">
        <f aca="false">IF(A70="","",IF(LEFT(A70,3)="Pre",0,IFERROR(VALUE(MID(A70,5,FIND(" ",A70&amp;" ",5)-5)),"")))</f>
        <v/>
      </c>
      <c r="K70" s="57" t="str">
        <f aca="false">IF(J70="","",IF(J70=0,"Before trip",IF(TripStart="","",TripStart+J70-1)))</f>
        <v/>
      </c>
      <c r="L70" s="26" t="str">
        <f aca="false">IF(G70="","",IFERROR(INDEX(Contacts!$D$6:$D$45,MATCH(G70,Contacts!$B$6:$B$45,0))&amp;"",""))</f>
        <v/>
      </c>
      <c r="M70" s="60" t="str">
        <f aca="false">IF(OR(J70="",D70=""),"",J70+IF(B70="",0.999,B70)+ROW()/10000000)</f>
        <v/>
      </c>
    </row>
    <row r="71" customFormat="false" ht="15" hidden="false" customHeight="false" outlineLevel="0" collapsed="false">
      <c r="A71" s="23"/>
      <c r="B71" s="62"/>
      <c r="C71" s="23"/>
      <c r="D71" s="23"/>
      <c r="E71" s="23"/>
      <c r="F71" s="23"/>
      <c r="G71" s="23"/>
      <c r="H71" s="23"/>
      <c r="I71" s="23"/>
      <c r="J71" s="25" t="str">
        <f aca="false">IF(A71="","",IF(LEFT(A71,3)="Pre",0,IFERROR(VALUE(MID(A71,5,FIND(" ",A71&amp;" ",5)-5)),"")))</f>
        <v/>
      </c>
      <c r="K71" s="57" t="str">
        <f aca="false">IF(J71="","",IF(J71=0,"Before trip",IF(TripStart="","",TripStart+J71-1)))</f>
        <v/>
      </c>
      <c r="L71" s="26" t="str">
        <f aca="false">IF(G71="","",IFERROR(INDEX(Contacts!$D$6:$D$45,MATCH(G71,Contacts!$B$6:$B$45,0))&amp;"",""))</f>
        <v/>
      </c>
      <c r="M71" s="60" t="str">
        <f aca="false">IF(OR(J71="",D71=""),"",J71+IF(B71="",0.999,B71)+ROW()/10000000)</f>
        <v/>
      </c>
    </row>
    <row r="72" customFormat="false" ht="15" hidden="false" customHeight="false" outlineLevel="0" collapsed="false">
      <c r="A72" s="23"/>
      <c r="B72" s="62"/>
      <c r="C72" s="23"/>
      <c r="D72" s="23"/>
      <c r="E72" s="23"/>
      <c r="F72" s="23"/>
      <c r="G72" s="23"/>
      <c r="H72" s="23"/>
      <c r="I72" s="23"/>
      <c r="J72" s="25" t="str">
        <f aca="false">IF(A72="","",IF(LEFT(A72,3)="Pre",0,IFERROR(VALUE(MID(A72,5,FIND(" ",A72&amp;" ",5)-5)),"")))</f>
        <v/>
      </c>
      <c r="K72" s="57" t="str">
        <f aca="false">IF(J72="","",IF(J72=0,"Before trip",IF(TripStart="","",TripStart+J72-1)))</f>
        <v/>
      </c>
      <c r="L72" s="26" t="str">
        <f aca="false">IF(G72="","",IFERROR(INDEX(Contacts!$D$6:$D$45,MATCH(G72,Contacts!$B$6:$B$45,0))&amp;"",""))</f>
        <v/>
      </c>
      <c r="M72" s="60" t="str">
        <f aca="false">IF(OR(J72="",D72=""),"",J72+IF(B72="",0.999,B72)+ROW()/10000000)</f>
        <v/>
      </c>
    </row>
    <row r="73" customFormat="false" ht="15" hidden="false" customHeight="false" outlineLevel="0" collapsed="false">
      <c r="A73" s="23"/>
      <c r="B73" s="62"/>
      <c r="C73" s="23"/>
      <c r="D73" s="23"/>
      <c r="E73" s="23"/>
      <c r="F73" s="23"/>
      <c r="G73" s="23"/>
      <c r="H73" s="23"/>
      <c r="I73" s="23"/>
      <c r="J73" s="25" t="str">
        <f aca="false">IF(A73="","",IF(LEFT(A73,3)="Pre",0,IFERROR(VALUE(MID(A73,5,FIND(" ",A73&amp;" ",5)-5)),"")))</f>
        <v/>
      </c>
      <c r="K73" s="57" t="str">
        <f aca="false">IF(J73="","",IF(J73=0,"Before trip",IF(TripStart="","",TripStart+J73-1)))</f>
        <v/>
      </c>
      <c r="L73" s="26" t="str">
        <f aca="false">IF(G73="","",IFERROR(INDEX(Contacts!$D$6:$D$45,MATCH(G73,Contacts!$B$6:$B$45,0))&amp;"",""))</f>
        <v/>
      </c>
      <c r="M73" s="60" t="str">
        <f aca="false">IF(OR(J73="",D73=""),"",J73+IF(B73="",0.999,B73)+ROW()/10000000)</f>
        <v/>
      </c>
    </row>
    <row r="74" customFormat="false" ht="15" hidden="false" customHeight="false" outlineLevel="0" collapsed="false">
      <c r="A74" s="23"/>
      <c r="B74" s="62"/>
      <c r="C74" s="23"/>
      <c r="D74" s="23"/>
      <c r="E74" s="23"/>
      <c r="F74" s="23"/>
      <c r="G74" s="23"/>
      <c r="H74" s="23"/>
      <c r="I74" s="23"/>
      <c r="J74" s="25" t="str">
        <f aca="false">IF(A74="","",IF(LEFT(A74,3)="Pre",0,IFERROR(VALUE(MID(A74,5,FIND(" ",A74&amp;" ",5)-5)),"")))</f>
        <v/>
      </c>
      <c r="K74" s="57" t="str">
        <f aca="false">IF(J74="","",IF(J74=0,"Before trip",IF(TripStart="","",TripStart+J74-1)))</f>
        <v/>
      </c>
      <c r="L74" s="26" t="str">
        <f aca="false">IF(G74="","",IFERROR(INDEX(Contacts!$D$6:$D$45,MATCH(G74,Contacts!$B$6:$B$45,0))&amp;"",""))</f>
        <v/>
      </c>
      <c r="M74" s="60" t="str">
        <f aca="false">IF(OR(J74="",D74=""),"",J74+IF(B74="",0.999,B74)+ROW()/10000000)</f>
        <v/>
      </c>
    </row>
    <row r="75" customFormat="false" ht="15" hidden="false" customHeight="false" outlineLevel="0" collapsed="false">
      <c r="A75" s="23"/>
      <c r="B75" s="62"/>
      <c r="C75" s="23"/>
      <c r="D75" s="23"/>
      <c r="E75" s="23"/>
      <c r="F75" s="23"/>
      <c r="G75" s="23"/>
      <c r="H75" s="23"/>
      <c r="I75" s="23"/>
      <c r="J75" s="25" t="str">
        <f aca="false">IF(A75="","",IF(LEFT(A75,3)="Pre",0,IFERROR(VALUE(MID(A75,5,FIND(" ",A75&amp;" ",5)-5)),"")))</f>
        <v/>
      </c>
      <c r="K75" s="57" t="str">
        <f aca="false">IF(J75="","",IF(J75=0,"Before trip",IF(TripStart="","",TripStart+J75-1)))</f>
        <v/>
      </c>
      <c r="L75" s="26" t="str">
        <f aca="false">IF(G75="","",IFERROR(INDEX(Contacts!$D$6:$D$45,MATCH(G75,Contacts!$B$6:$B$45,0))&amp;"",""))</f>
        <v/>
      </c>
      <c r="M75" s="60" t="str">
        <f aca="false">IF(OR(J75="",D75=""),"",J75+IF(B75="",0.999,B75)+ROW()/10000000)</f>
        <v/>
      </c>
    </row>
    <row r="76" customFormat="false" ht="15" hidden="false" customHeight="false" outlineLevel="0" collapsed="false">
      <c r="A76" s="23"/>
      <c r="B76" s="62"/>
      <c r="C76" s="23"/>
      <c r="D76" s="23"/>
      <c r="E76" s="23"/>
      <c r="F76" s="23"/>
      <c r="G76" s="23"/>
      <c r="H76" s="23"/>
      <c r="I76" s="23"/>
      <c r="J76" s="25" t="str">
        <f aca="false">IF(A76="","",IF(LEFT(A76,3)="Pre",0,IFERROR(VALUE(MID(A76,5,FIND(" ",A76&amp;" ",5)-5)),"")))</f>
        <v/>
      </c>
      <c r="K76" s="57" t="str">
        <f aca="false">IF(J76="","",IF(J76=0,"Before trip",IF(TripStart="","",TripStart+J76-1)))</f>
        <v/>
      </c>
      <c r="L76" s="26" t="str">
        <f aca="false">IF(G76="","",IFERROR(INDEX(Contacts!$D$6:$D$45,MATCH(G76,Contacts!$B$6:$B$45,0))&amp;"",""))</f>
        <v/>
      </c>
      <c r="M76" s="60" t="str">
        <f aca="false">IF(OR(J76="",D76=""),"",J76+IF(B76="",0.999,B76)+ROW()/10000000)</f>
        <v/>
      </c>
    </row>
    <row r="77" customFormat="false" ht="15" hidden="false" customHeight="false" outlineLevel="0" collapsed="false">
      <c r="A77" s="23"/>
      <c r="B77" s="62"/>
      <c r="C77" s="23"/>
      <c r="D77" s="23"/>
      <c r="E77" s="23"/>
      <c r="F77" s="23"/>
      <c r="G77" s="23"/>
      <c r="H77" s="23"/>
      <c r="I77" s="23"/>
      <c r="J77" s="25" t="str">
        <f aca="false">IF(A77="","",IF(LEFT(A77,3)="Pre",0,IFERROR(VALUE(MID(A77,5,FIND(" ",A77&amp;" ",5)-5)),"")))</f>
        <v/>
      </c>
      <c r="K77" s="57" t="str">
        <f aca="false">IF(J77="","",IF(J77=0,"Before trip",IF(TripStart="","",TripStart+J77-1)))</f>
        <v/>
      </c>
      <c r="L77" s="26" t="str">
        <f aca="false">IF(G77="","",IFERROR(INDEX(Contacts!$D$6:$D$45,MATCH(G77,Contacts!$B$6:$B$45,0))&amp;"",""))</f>
        <v/>
      </c>
      <c r="M77" s="60" t="str">
        <f aca="false">IF(OR(J77="",D77=""),"",J77+IF(B77="",0.999,B77)+ROW()/10000000)</f>
        <v/>
      </c>
    </row>
    <row r="78" customFormat="false" ht="15" hidden="false" customHeight="false" outlineLevel="0" collapsed="false">
      <c r="A78" s="23"/>
      <c r="B78" s="62"/>
      <c r="C78" s="23"/>
      <c r="D78" s="23"/>
      <c r="E78" s="23"/>
      <c r="F78" s="23"/>
      <c r="G78" s="23"/>
      <c r="H78" s="23"/>
      <c r="I78" s="23"/>
      <c r="J78" s="25" t="str">
        <f aca="false">IF(A78="","",IF(LEFT(A78,3)="Pre",0,IFERROR(VALUE(MID(A78,5,FIND(" ",A78&amp;" ",5)-5)),"")))</f>
        <v/>
      </c>
      <c r="K78" s="57" t="str">
        <f aca="false">IF(J78="","",IF(J78=0,"Before trip",IF(TripStart="","",TripStart+J78-1)))</f>
        <v/>
      </c>
      <c r="L78" s="26" t="str">
        <f aca="false">IF(G78="","",IFERROR(INDEX(Contacts!$D$6:$D$45,MATCH(G78,Contacts!$B$6:$B$45,0))&amp;"",""))</f>
        <v/>
      </c>
      <c r="M78" s="60" t="str">
        <f aca="false">IF(OR(J78="",D78=""),"",J78+IF(B78="",0.999,B78)+ROW()/10000000)</f>
        <v/>
      </c>
    </row>
    <row r="79" customFormat="false" ht="15" hidden="false" customHeight="false" outlineLevel="0" collapsed="false">
      <c r="A79" s="23"/>
      <c r="B79" s="62"/>
      <c r="C79" s="23"/>
      <c r="D79" s="23"/>
      <c r="E79" s="23"/>
      <c r="F79" s="23"/>
      <c r="G79" s="23"/>
      <c r="H79" s="23"/>
      <c r="I79" s="23"/>
      <c r="J79" s="25" t="str">
        <f aca="false">IF(A79="","",IF(LEFT(A79,3)="Pre",0,IFERROR(VALUE(MID(A79,5,FIND(" ",A79&amp;" ",5)-5)),"")))</f>
        <v/>
      </c>
      <c r="K79" s="57" t="str">
        <f aca="false">IF(J79="","",IF(J79=0,"Before trip",IF(TripStart="","",TripStart+J79-1)))</f>
        <v/>
      </c>
      <c r="L79" s="26" t="str">
        <f aca="false">IF(G79="","",IFERROR(INDEX(Contacts!$D$6:$D$45,MATCH(G79,Contacts!$B$6:$B$45,0))&amp;"",""))</f>
        <v/>
      </c>
      <c r="M79" s="60" t="str">
        <f aca="false">IF(OR(J79="",D79=""),"",J79+IF(B79="",0.999,B79)+ROW()/10000000)</f>
        <v/>
      </c>
    </row>
    <row r="80" customFormat="false" ht="15" hidden="false" customHeight="false" outlineLevel="0" collapsed="false">
      <c r="A80" s="23"/>
      <c r="B80" s="62"/>
      <c r="C80" s="23"/>
      <c r="D80" s="23"/>
      <c r="E80" s="23"/>
      <c r="F80" s="23"/>
      <c r="G80" s="23"/>
      <c r="H80" s="23"/>
      <c r="I80" s="23"/>
      <c r="J80" s="25" t="str">
        <f aca="false">IF(A80="","",IF(LEFT(A80,3)="Pre",0,IFERROR(VALUE(MID(A80,5,FIND(" ",A80&amp;" ",5)-5)),"")))</f>
        <v/>
      </c>
      <c r="K80" s="57" t="str">
        <f aca="false">IF(J80="","",IF(J80=0,"Before trip",IF(TripStart="","",TripStart+J80-1)))</f>
        <v/>
      </c>
      <c r="L80" s="26" t="str">
        <f aca="false">IF(G80="","",IFERROR(INDEX(Contacts!$D$6:$D$45,MATCH(G80,Contacts!$B$6:$B$45,0))&amp;"",""))</f>
        <v/>
      </c>
      <c r="M80" s="60" t="str">
        <f aca="false">IF(OR(J80="",D80=""),"",J80+IF(B80="",0.999,B80)+ROW()/10000000)</f>
        <v/>
      </c>
    </row>
    <row r="81" customFormat="false" ht="15" hidden="false" customHeight="false" outlineLevel="0" collapsed="false">
      <c r="A81" s="23"/>
      <c r="B81" s="62"/>
      <c r="C81" s="23"/>
      <c r="D81" s="23"/>
      <c r="E81" s="23"/>
      <c r="F81" s="23"/>
      <c r="G81" s="23"/>
      <c r="H81" s="23"/>
      <c r="I81" s="23"/>
      <c r="J81" s="25" t="str">
        <f aca="false">IF(A81="","",IF(LEFT(A81,3)="Pre",0,IFERROR(VALUE(MID(A81,5,FIND(" ",A81&amp;" ",5)-5)),"")))</f>
        <v/>
      </c>
      <c r="K81" s="57" t="str">
        <f aca="false">IF(J81="","",IF(J81=0,"Before trip",IF(TripStart="","",TripStart+J81-1)))</f>
        <v/>
      </c>
      <c r="L81" s="26" t="str">
        <f aca="false">IF(G81="","",IFERROR(INDEX(Contacts!$D$6:$D$45,MATCH(G81,Contacts!$B$6:$B$45,0))&amp;"",""))</f>
        <v/>
      </c>
      <c r="M81" s="60" t="str">
        <f aca="false">IF(OR(J81="",D81=""),"",J81+IF(B81="",0.999,B81)+ROW()/10000000)</f>
        <v/>
      </c>
    </row>
    <row r="82" customFormat="false" ht="15" hidden="false" customHeight="false" outlineLevel="0" collapsed="false">
      <c r="A82" s="23"/>
      <c r="B82" s="62"/>
      <c r="C82" s="23"/>
      <c r="D82" s="23"/>
      <c r="E82" s="23"/>
      <c r="F82" s="23"/>
      <c r="G82" s="23"/>
      <c r="H82" s="23"/>
      <c r="I82" s="23"/>
      <c r="J82" s="25" t="str">
        <f aca="false">IF(A82="","",IF(LEFT(A82,3)="Pre",0,IFERROR(VALUE(MID(A82,5,FIND(" ",A82&amp;" ",5)-5)),"")))</f>
        <v/>
      </c>
      <c r="K82" s="57" t="str">
        <f aca="false">IF(J82="","",IF(J82=0,"Before trip",IF(TripStart="","",TripStart+J82-1)))</f>
        <v/>
      </c>
      <c r="L82" s="26" t="str">
        <f aca="false">IF(G82="","",IFERROR(INDEX(Contacts!$D$6:$D$45,MATCH(G82,Contacts!$B$6:$B$45,0))&amp;"",""))</f>
        <v/>
      </c>
      <c r="M82" s="60" t="str">
        <f aca="false">IF(OR(J82="",D82=""),"",J82+IF(B82="",0.999,B82)+ROW()/10000000)</f>
        <v/>
      </c>
    </row>
    <row r="83" customFormat="false" ht="15" hidden="false" customHeight="false" outlineLevel="0" collapsed="false">
      <c r="A83" s="23"/>
      <c r="B83" s="62"/>
      <c r="C83" s="23"/>
      <c r="D83" s="23"/>
      <c r="E83" s="23"/>
      <c r="F83" s="23"/>
      <c r="G83" s="23"/>
      <c r="H83" s="23"/>
      <c r="I83" s="23"/>
      <c r="J83" s="25" t="str">
        <f aca="false">IF(A83="","",IF(LEFT(A83,3)="Pre",0,IFERROR(VALUE(MID(A83,5,FIND(" ",A83&amp;" ",5)-5)),"")))</f>
        <v/>
      </c>
      <c r="K83" s="57" t="str">
        <f aca="false">IF(J83="","",IF(J83=0,"Before trip",IF(TripStart="","",TripStart+J83-1)))</f>
        <v/>
      </c>
      <c r="L83" s="26" t="str">
        <f aca="false">IF(G83="","",IFERROR(INDEX(Contacts!$D$6:$D$45,MATCH(G83,Contacts!$B$6:$B$45,0))&amp;"",""))</f>
        <v/>
      </c>
      <c r="M83" s="60" t="str">
        <f aca="false">IF(OR(J83="",D83=""),"",J83+IF(B83="",0.999,B83)+ROW()/10000000)</f>
        <v/>
      </c>
    </row>
    <row r="84" customFormat="false" ht="15" hidden="false" customHeight="false" outlineLevel="0" collapsed="false">
      <c r="A84" s="23"/>
      <c r="B84" s="62"/>
      <c r="C84" s="23"/>
      <c r="D84" s="23"/>
      <c r="E84" s="23"/>
      <c r="F84" s="23"/>
      <c r="G84" s="23"/>
      <c r="H84" s="23"/>
      <c r="I84" s="23"/>
      <c r="J84" s="25" t="str">
        <f aca="false">IF(A84="","",IF(LEFT(A84,3)="Pre",0,IFERROR(VALUE(MID(A84,5,FIND(" ",A84&amp;" ",5)-5)),"")))</f>
        <v/>
      </c>
      <c r="K84" s="57" t="str">
        <f aca="false">IF(J84="","",IF(J84=0,"Before trip",IF(TripStart="","",TripStart+J84-1)))</f>
        <v/>
      </c>
      <c r="L84" s="26" t="str">
        <f aca="false">IF(G84="","",IFERROR(INDEX(Contacts!$D$6:$D$45,MATCH(G84,Contacts!$B$6:$B$45,0))&amp;"",""))</f>
        <v/>
      </c>
      <c r="M84" s="60" t="str">
        <f aca="false">IF(OR(J84="",D84=""),"",J84+IF(B84="",0.999,B84)+ROW()/10000000)</f>
        <v/>
      </c>
    </row>
    <row r="85" customFormat="false" ht="15" hidden="false" customHeight="false" outlineLevel="0" collapsed="false">
      <c r="A85" s="23"/>
      <c r="B85" s="62"/>
      <c r="C85" s="23"/>
      <c r="D85" s="23"/>
      <c r="E85" s="23"/>
      <c r="F85" s="23"/>
      <c r="G85" s="23"/>
      <c r="H85" s="23"/>
      <c r="I85" s="23"/>
      <c r="J85" s="25" t="str">
        <f aca="false">IF(A85="","",IF(LEFT(A85,3)="Pre",0,IFERROR(VALUE(MID(A85,5,FIND(" ",A85&amp;" ",5)-5)),"")))</f>
        <v/>
      </c>
      <c r="K85" s="57" t="str">
        <f aca="false">IF(J85="","",IF(J85=0,"Before trip",IF(TripStart="","",TripStart+J85-1)))</f>
        <v/>
      </c>
      <c r="L85" s="26" t="str">
        <f aca="false">IF(G85="","",IFERROR(INDEX(Contacts!$D$6:$D$45,MATCH(G85,Contacts!$B$6:$B$45,0))&amp;"",""))</f>
        <v/>
      </c>
      <c r="M85" s="60" t="str">
        <f aca="false">IF(OR(J85="",D85=""),"",J85+IF(B85="",0.999,B85)+ROW()/10000000)</f>
        <v/>
      </c>
    </row>
  </sheetData>
  <sheetProtection sheet="true" password="ecf5" formatRows="false"/>
  <conditionalFormatting sqref="A6:I85">
    <cfRule type="expression" priority="2" aboveAverage="0" equalAverage="0" bottom="0" percent="0" rank="0" text="" dxfId="6">
      <formula>$I6="Yes"</formula>
    </cfRule>
  </conditionalFormatting>
  <conditionalFormatting sqref="A6:A85">
    <cfRule type="expression" priority="3" aboveAverage="0" equalAverage="0" bottom="0" percent="0" rank="0" text="" dxfId="7">
      <formula>AND($J6&lt;&gt;"",MOD($J6,2)=1)</formula>
    </cfRule>
  </conditionalFormatting>
  <dataValidations count="5">
    <dataValidation allowBlank="true" error="Please pick from the list (click the ▼ arrow)." errorStyle="stop" errorTitle="Pick from the list" operator="between" prompt="Pick the day. Pre-trip = before you leave." promptTitle="When" showDropDown="false" showErrorMessage="true" showInputMessage="true" sqref="A6:A85" type="list">
      <formula1>DayList</formula1>
      <formula2>0</formula2>
    </dataValidation>
    <dataValidation allowBlank="true" error="Type a time like 14:30" errorStyle="stop" errorTitle="Time needed" operator="between" showDropDown="false" showErrorMessage="true" showInputMessage="false" sqref="B6:B85" type="time">
      <formula1>0</formula1>
      <formula2>0.99999</formula2>
    </dataValidation>
    <dataValidation allowBlank="true" error="Please pick from the list (click the ▼ arrow)." errorStyle="warning" errorTitle="Pick from the list" operator="between" showDropDown="false" showErrorMessage="false" showInputMessage="false" sqref="E6:E85" type="list">
      <formula1>ITypeList</formula1>
      <formula2>0</formula2>
    </dataValidation>
    <dataValidation allowBlank="true" error="Please pick from the list (click the ▼ arrow)." errorStyle="warning" errorTitle="Pick from the list" operator="between" prompt="Add hotels, drivers etc. on the Contacts tab first; their phone shows here." promptTitle="Contact" showDropDown="false" showErrorMessage="false" showInputMessage="true" sqref="G6:G85" type="list">
      <formula1>ContactList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I6:I85" type="list">
      <formula1>YesNo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36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2"/>
    <col collapsed="false" customWidth="true" hidden="false" outlineLevel="0" max="3" min="3" style="0" width="18"/>
    <col collapsed="false" customWidth="true" hidden="false" outlineLevel="0" max="4" min="4" style="0" width="22"/>
    <col collapsed="false" customWidth="true" hidden="false" outlineLevel="0" max="5" min="5" style="0" width="18"/>
    <col collapsed="false" customWidth="true" hidden="false" outlineLevel="0" max="6" min="6" style="0" width="15"/>
    <col collapsed="false" customWidth="true" hidden="false" outlineLevel="0" max="7" min="7" style="0" width="18"/>
    <col collapsed="false" customWidth="true" hidden="false" outlineLevel="0" max="8" min="8" style="0" width="22"/>
    <col collapsed="false" customWidth="true" hidden="false" outlineLevel="0" max="9" min="9" style="0" width="14"/>
    <col collapsed="false" customWidth="true" hidden="true" outlineLevel="0" max="13" min="12" style="0" width="13"/>
  </cols>
  <sheetData>
    <row r="1" customFormat="false" ht="33.75" hidden="false" customHeight="true" outlineLevel="0" collapsed="false">
      <c r="A1" s="16" t="s">
        <v>58</v>
      </c>
      <c r="B1" s="17" t="s">
        <v>155</v>
      </c>
    </row>
    <row r="2" customFormat="false" ht="15" hidden="false" customHeight="false" outlineLevel="0" collapsed="false">
      <c r="B2" s="18" t="s">
        <v>156</v>
      </c>
    </row>
    <row r="4" customFormat="false" ht="15" hidden="false" customHeight="false" outlineLevel="0" collapsed="false">
      <c r="B4" s="63" t="s">
        <v>157</v>
      </c>
      <c r="C4" s="64" t="str">
        <f aca="true">IF(Calc!$A$3="","",IF(AND(TODAY()&gt;=TripStart,TODAY()&lt;=TripEnd),INDEX(Calc!$A$3:$A$32,TODAY()-TripStart+1),Calc!$A$3))</f>
        <v/>
      </c>
      <c r="D4" s="64"/>
      <c r="E4" s="65" t="str">
        <f aca="false">IF(Setup!$K$12="","","💡 "&amp;IFERROR(INDEX('Country Data'!$R$5:$R$84,MATCH(Setup!$G$6,'Country Data'!$A$5:$A$84,0)),""))</f>
        <v/>
      </c>
      <c r="F4" s="65"/>
      <c r="G4" s="65"/>
      <c r="H4" s="65"/>
    </row>
    <row r="6" customFormat="false" ht="15" hidden="false" customHeight="false" outlineLevel="0" collapsed="false">
      <c r="B6" s="66" t="s">
        <v>158</v>
      </c>
      <c r="C6" s="66"/>
      <c r="D6" s="67" t="s">
        <v>159</v>
      </c>
      <c r="E6" s="67"/>
      <c r="F6" s="68" t="s">
        <v>160</v>
      </c>
      <c r="G6" s="68"/>
      <c r="H6" s="69" t="s">
        <v>161</v>
      </c>
      <c r="I6" s="69"/>
    </row>
    <row r="7" customFormat="false" ht="33.75" hidden="false" customHeight="true" outlineLevel="0" collapsed="false">
      <c r="B7" s="70" t="str">
        <f aca="false">IF(TodayDay="","",SUMIFS(Expenses!$S$6:$S$205,Expenses!$N$6:$N$205,TodayDay))</f>
        <v/>
      </c>
      <c r="C7" s="70"/>
      <c r="D7" s="71" t="str">
        <f aca="false">IF(TodayDay="","",SUMIFS(Expenses!$R$6:$R$205,Expenses!$N$6:$N$205,TodayDay,Expenses!$H$6:$H$205,"Paid"))</f>
        <v/>
      </c>
      <c r="E7" s="71"/>
      <c r="F7" s="72" t="str">
        <f aca="false">DailyBudget</f>
        <v/>
      </c>
      <c r="G7" s="72"/>
      <c r="H7" s="73" t="str">
        <f aca="false">IF(OR(TodayDay="",N(TripDays)=0),"",(TotalBudget-SUM(Expenses!$AT$6:$AT$205))/MAX(1,TripDays-MAX(1,TodayDay)+1))</f>
        <v/>
      </c>
      <c r="I7" s="73"/>
    </row>
    <row r="9" customFormat="false" ht="15" hidden="false" customHeight="false" outlineLevel="0" collapsed="false">
      <c r="B9" s="19" t="s">
        <v>162</v>
      </c>
    </row>
    <row r="10" customFormat="false" ht="30" hidden="false" customHeight="true" outlineLevel="0" collapsed="false">
      <c r="B10" s="22" t="s">
        <v>146</v>
      </c>
      <c r="C10" s="22" t="s">
        <v>147</v>
      </c>
      <c r="D10" s="22" t="s">
        <v>163</v>
      </c>
      <c r="E10" s="22"/>
      <c r="F10" s="22" t="s">
        <v>150</v>
      </c>
      <c r="G10" s="22" t="s">
        <v>164</v>
      </c>
      <c r="H10" s="22" t="s">
        <v>165</v>
      </c>
    </row>
    <row r="11" customFormat="false" ht="15" hidden="false" customHeight="false" outlineLevel="0" collapsed="false">
      <c r="B11" s="74" t="str">
        <f aca="false">IF($M11="","",IF(INDEX(Itinerary!$B$6:$B$85,$M11)="","",INDEX(Itinerary!$B$6:$B$85,$M11)))</f>
        <v/>
      </c>
      <c r="C11" s="75" t="str">
        <f aca="false">IF($M11="","",IF(INDEX(Itinerary!$C$6:$C$85,$M11)="","",INDEX(Itinerary!$C$6:$C$85,$M11)))</f>
        <v/>
      </c>
      <c r="D11" s="75" t="str">
        <f aca="false">IF($M11="","",IF(INDEX(Itinerary!$D$6:$D$85,$M11)="","",INDEX(Itinerary!$D$6:$D$85,$M11)))</f>
        <v/>
      </c>
      <c r="E11" s="75"/>
      <c r="F11" s="75" t="str">
        <f aca="false">IF($M11="","",IF(INDEX(Itinerary!$F$6:$F$85,$M11)="","",INDEX(Itinerary!$F$6:$F$85,$M11)))</f>
        <v/>
      </c>
      <c r="G11" s="75" t="str">
        <f aca="false">IF($M11="","",IF(INDEX(Itinerary!$G$6:$G$85,$M11)="","",INDEX(Itinerary!$G$6:$G$85,$M11)))</f>
        <v/>
      </c>
      <c r="H11" s="75" t="str">
        <f aca="false">IF($M11="","",IF(INDEX(Itinerary!$L$6:$L$85,$M11)="","",INDEX(Itinerary!$L$6:$L$85,$M11)))</f>
        <v/>
      </c>
      <c r="L11" s="60" t="str">
        <f aca="false">IF(TodayDay="","",IFERROR(SMALL(Itinerary!$M$6:$M$85,COUNTIF(Itinerary!$M$6:$M$85,"&lt;"&amp;TodayDay)+1),""))</f>
        <v/>
      </c>
      <c r="M11" s="60" t="str">
        <f aca="false">IF(L11="","",IF(INT(L11)&lt;&gt;TodayDay,"",MATCH(L11,Itinerary!$M$6:$M$85,0)))</f>
        <v/>
      </c>
    </row>
    <row r="12" customFormat="false" ht="15" hidden="false" customHeight="false" outlineLevel="0" collapsed="false">
      <c r="B12" s="74" t="str">
        <f aca="false">IF($M12="","",IF(INDEX(Itinerary!$B$6:$B$85,$M12)="","",INDEX(Itinerary!$B$6:$B$85,$M12)))</f>
        <v/>
      </c>
      <c r="C12" s="75" t="str">
        <f aca="false">IF($M12="","",IF(INDEX(Itinerary!$C$6:$C$85,$M12)="","",INDEX(Itinerary!$C$6:$C$85,$M12)))</f>
        <v/>
      </c>
      <c r="D12" s="75" t="str">
        <f aca="false">IF($M12="","",IF(INDEX(Itinerary!$D$6:$D$85,$M12)="","",INDEX(Itinerary!$D$6:$D$85,$M12)))</f>
        <v/>
      </c>
      <c r="E12" s="75"/>
      <c r="F12" s="75" t="str">
        <f aca="false">IF($M12="","",IF(INDEX(Itinerary!$F$6:$F$85,$M12)="","",INDEX(Itinerary!$F$6:$F$85,$M12)))</f>
        <v/>
      </c>
      <c r="G12" s="75" t="str">
        <f aca="false">IF($M12="","",IF(INDEX(Itinerary!$G$6:$G$85,$M12)="","",INDEX(Itinerary!$G$6:$G$85,$M12)))</f>
        <v/>
      </c>
      <c r="H12" s="75" t="str">
        <f aca="false">IF($M12="","",IF(INDEX(Itinerary!$L$6:$L$85,$M12)="","",INDEX(Itinerary!$L$6:$L$85,$M12)))</f>
        <v/>
      </c>
      <c r="L12" s="60" t="str">
        <f aca="false">IF(TodayDay="","",IFERROR(SMALL(Itinerary!$M$6:$M$85,COUNTIF(Itinerary!$M$6:$M$85,"&lt;"&amp;TodayDay)+2),""))</f>
        <v/>
      </c>
      <c r="M12" s="60" t="str">
        <f aca="false">IF(L12="","",IF(INT(L12)&lt;&gt;TodayDay,"",MATCH(L12,Itinerary!$M$6:$M$85,0)))</f>
        <v/>
      </c>
    </row>
    <row r="13" customFormat="false" ht="15" hidden="false" customHeight="false" outlineLevel="0" collapsed="false">
      <c r="B13" s="74" t="str">
        <f aca="false">IF($M13="","",IF(INDEX(Itinerary!$B$6:$B$85,$M13)="","",INDEX(Itinerary!$B$6:$B$85,$M13)))</f>
        <v/>
      </c>
      <c r="C13" s="75" t="str">
        <f aca="false">IF($M13="","",IF(INDEX(Itinerary!$C$6:$C$85,$M13)="","",INDEX(Itinerary!$C$6:$C$85,$M13)))</f>
        <v/>
      </c>
      <c r="D13" s="75" t="str">
        <f aca="false">IF($M13="","",IF(INDEX(Itinerary!$D$6:$D$85,$M13)="","",INDEX(Itinerary!$D$6:$D$85,$M13)))</f>
        <v/>
      </c>
      <c r="E13" s="75"/>
      <c r="F13" s="75" t="str">
        <f aca="false">IF($M13="","",IF(INDEX(Itinerary!$F$6:$F$85,$M13)="","",INDEX(Itinerary!$F$6:$F$85,$M13)))</f>
        <v/>
      </c>
      <c r="G13" s="75" t="str">
        <f aca="false">IF($M13="","",IF(INDEX(Itinerary!$G$6:$G$85,$M13)="","",INDEX(Itinerary!$G$6:$G$85,$M13)))</f>
        <v/>
      </c>
      <c r="H13" s="75" t="str">
        <f aca="false">IF($M13="","",IF(INDEX(Itinerary!$L$6:$L$85,$M13)="","",INDEX(Itinerary!$L$6:$L$85,$M13)))</f>
        <v/>
      </c>
      <c r="L13" s="60" t="str">
        <f aca="false">IF(TodayDay="","",IFERROR(SMALL(Itinerary!$M$6:$M$85,COUNTIF(Itinerary!$M$6:$M$85,"&lt;"&amp;TodayDay)+3),""))</f>
        <v/>
      </c>
      <c r="M13" s="60" t="str">
        <f aca="false">IF(L13="","",IF(INT(L13)&lt;&gt;TodayDay,"",MATCH(L13,Itinerary!$M$6:$M$85,0)))</f>
        <v/>
      </c>
    </row>
    <row r="14" customFormat="false" ht="15" hidden="false" customHeight="false" outlineLevel="0" collapsed="false">
      <c r="B14" s="74" t="str">
        <f aca="false">IF($M14="","",IF(INDEX(Itinerary!$B$6:$B$85,$M14)="","",INDEX(Itinerary!$B$6:$B$85,$M14)))</f>
        <v/>
      </c>
      <c r="C14" s="75" t="str">
        <f aca="false">IF($M14="","",IF(INDEX(Itinerary!$C$6:$C$85,$M14)="","",INDEX(Itinerary!$C$6:$C$85,$M14)))</f>
        <v/>
      </c>
      <c r="D14" s="75" t="str">
        <f aca="false">IF($M14="","",IF(INDEX(Itinerary!$D$6:$D$85,$M14)="","",INDEX(Itinerary!$D$6:$D$85,$M14)))</f>
        <v/>
      </c>
      <c r="E14" s="75"/>
      <c r="F14" s="75" t="str">
        <f aca="false">IF($M14="","",IF(INDEX(Itinerary!$F$6:$F$85,$M14)="","",INDEX(Itinerary!$F$6:$F$85,$M14)))</f>
        <v/>
      </c>
      <c r="G14" s="75" t="str">
        <f aca="false">IF($M14="","",IF(INDEX(Itinerary!$G$6:$G$85,$M14)="","",INDEX(Itinerary!$G$6:$G$85,$M14)))</f>
        <v/>
      </c>
      <c r="H14" s="75" t="str">
        <f aca="false">IF($M14="","",IF(INDEX(Itinerary!$L$6:$L$85,$M14)="","",INDEX(Itinerary!$L$6:$L$85,$M14)))</f>
        <v/>
      </c>
      <c r="L14" s="60" t="str">
        <f aca="false">IF(TodayDay="","",IFERROR(SMALL(Itinerary!$M$6:$M$85,COUNTIF(Itinerary!$M$6:$M$85,"&lt;"&amp;TodayDay)+4),""))</f>
        <v/>
      </c>
      <c r="M14" s="60" t="str">
        <f aca="false">IF(L14="","",IF(INT(L14)&lt;&gt;TodayDay,"",MATCH(L14,Itinerary!$M$6:$M$85,0)))</f>
        <v/>
      </c>
    </row>
    <row r="15" customFormat="false" ht="15" hidden="false" customHeight="false" outlineLevel="0" collapsed="false">
      <c r="B15" s="74" t="str">
        <f aca="false">IF($M15="","",IF(INDEX(Itinerary!$B$6:$B$85,$M15)="","",INDEX(Itinerary!$B$6:$B$85,$M15)))</f>
        <v/>
      </c>
      <c r="C15" s="75" t="str">
        <f aca="false">IF($M15="","",IF(INDEX(Itinerary!$C$6:$C$85,$M15)="","",INDEX(Itinerary!$C$6:$C$85,$M15)))</f>
        <v/>
      </c>
      <c r="D15" s="75" t="str">
        <f aca="false">IF($M15="","",IF(INDEX(Itinerary!$D$6:$D$85,$M15)="","",INDEX(Itinerary!$D$6:$D$85,$M15)))</f>
        <v/>
      </c>
      <c r="E15" s="75"/>
      <c r="F15" s="75" t="str">
        <f aca="false">IF($M15="","",IF(INDEX(Itinerary!$F$6:$F$85,$M15)="","",INDEX(Itinerary!$F$6:$F$85,$M15)))</f>
        <v/>
      </c>
      <c r="G15" s="75" t="str">
        <f aca="false">IF($M15="","",IF(INDEX(Itinerary!$G$6:$G$85,$M15)="","",INDEX(Itinerary!$G$6:$G$85,$M15)))</f>
        <v/>
      </c>
      <c r="H15" s="75" t="str">
        <f aca="false">IF($M15="","",IF(INDEX(Itinerary!$L$6:$L$85,$M15)="","",INDEX(Itinerary!$L$6:$L$85,$M15)))</f>
        <v/>
      </c>
      <c r="L15" s="60" t="str">
        <f aca="false">IF(TodayDay="","",IFERROR(SMALL(Itinerary!$M$6:$M$85,COUNTIF(Itinerary!$M$6:$M$85,"&lt;"&amp;TodayDay)+5),""))</f>
        <v/>
      </c>
      <c r="M15" s="60" t="str">
        <f aca="false">IF(L15="","",IF(INT(L15)&lt;&gt;TodayDay,"",MATCH(L15,Itinerary!$M$6:$M$85,0)))</f>
        <v/>
      </c>
    </row>
    <row r="16" customFormat="false" ht="15" hidden="false" customHeight="false" outlineLevel="0" collapsed="false">
      <c r="B16" s="74" t="str">
        <f aca="false">IF($M16="","",IF(INDEX(Itinerary!$B$6:$B$85,$M16)="","",INDEX(Itinerary!$B$6:$B$85,$M16)))</f>
        <v/>
      </c>
      <c r="C16" s="75" t="str">
        <f aca="false">IF($M16="","",IF(INDEX(Itinerary!$C$6:$C$85,$M16)="","",INDEX(Itinerary!$C$6:$C$85,$M16)))</f>
        <v/>
      </c>
      <c r="D16" s="75" t="str">
        <f aca="false">IF($M16="","",IF(INDEX(Itinerary!$D$6:$D$85,$M16)="","",INDEX(Itinerary!$D$6:$D$85,$M16)))</f>
        <v/>
      </c>
      <c r="E16" s="75"/>
      <c r="F16" s="75" t="str">
        <f aca="false">IF($M16="","",IF(INDEX(Itinerary!$F$6:$F$85,$M16)="","",INDEX(Itinerary!$F$6:$F$85,$M16)))</f>
        <v/>
      </c>
      <c r="G16" s="75" t="str">
        <f aca="false">IF($M16="","",IF(INDEX(Itinerary!$G$6:$G$85,$M16)="","",INDEX(Itinerary!$G$6:$G$85,$M16)))</f>
        <v/>
      </c>
      <c r="H16" s="75" t="str">
        <f aca="false">IF($M16="","",IF(INDEX(Itinerary!$L$6:$L$85,$M16)="","",INDEX(Itinerary!$L$6:$L$85,$M16)))</f>
        <v/>
      </c>
      <c r="L16" s="60" t="str">
        <f aca="false">IF(TodayDay="","",IFERROR(SMALL(Itinerary!$M$6:$M$85,COUNTIF(Itinerary!$M$6:$M$85,"&lt;"&amp;TodayDay)+6),""))</f>
        <v/>
      </c>
      <c r="M16" s="60" t="str">
        <f aca="false">IF(L16="","",IF(INT(L16)&lt;&gt;TodayDay,"",MATCH(L16,Itinerary!$M$6:$M$85,0)))</f>
        <v/>
      </c>
    </row>
    <row r="17" customFormat="false" ht="15" hidden="false" customHeight="false" outlineLevel="0" collapsed="false">
      <c r="B17" s="74" t="str">
        <f aca="false">IF($M17="","",IF(INDEX(Itinerary!$B$6:$B$85,$M17)="","",INDEX(Itinerary!$B$6:$B$85,$M17)))</f>
        <v/>
      </c>
      <c r="C17" s="75" t="str">
        <f aca="false">IF($M17="","",IF(INDEX(Itinerary!$C$6:$C$85,$M17)="","",INDEX(Itinerary!$C$6:$C$85,$M17)))</f>
        <v/>
      </c>
      <c r="D17" s="75" t="str">
        <f aca="false">IF($M17="","",IF(INDEX(Itinerary!$D$6:$D$85,$M17)="","",INDEX(Itinerary!$D$6:$D$85,$M17)))</f>
        <v/>
      </c>
      <c r="E17" s="75"/>
      <c r="F17" s="75" t="str">
        <f aca="false">IF($M17="","",IF(INDEX(Itinerary!$F$6:$F$85,$M17)="","",INDEX(Itinerary!$F$6:$F$85,$M17)))</f>
        <v/>
      </c>
      <c r="G17" s="75" t="str">
        <f aca="false">IF($M17="","",IF(INDEX(Itinerary!$G$6:$G$85,$M17)="","",INDEX(Itinerary!$G$6:$G$85,$M17)))</f>
        <v/>
      </c>
      <c r="H17" s="75" t="str">
        <f aca="false">IF($M17="","",IF(INDEX(Itinerary!$L$6:$L$85,$M17)="","",INDEX(Itinerary!$L$6:$L$85,$M17)))</f>
        <v/>
      </c>
      <c r="L17" s="60" t="str">
        <f aca="false">IF(TodayDay="","",IFERROR(SMALL(Itinerary!$M$6:$M$85,COUNTIF(Itinerary!$M$6:$M$85,"&lt;"&amp;TodayDay)+7),""))</f>
        <v/>
      </c>
      <c r="M17" s="60" t="str">
        <f aca="false">IF(L17="","",IF(INT(L17)&lt;&gt;TodayDay,"",MATCH(L17,Itinerary!$M$6:$M$85,0)))</f>
        <v/>
      </c>
    </row>
    <row r="18" customFormat="false" ht="15" hidden="false" customHeight="false" outlineLevel="0" collapsed="false">
      <c r="B18" s="74" t="str">
        <f aca="false">IF($M18="","",IF(INDEX(Itinerary!$B$6:$B$85,$M18)="","",INDEX(Itinerary!$B$6:$B$85,$M18)))</f>
        <v/>
      </c>
      <c r="C18" s="75" t="str">
        <f aca="false">IF($M18="","",IF(INDEX(Itinerary!$C$6:$C$85,$M18)="","",INDEX(Itinerary!$C$6:$C$85,$M18)))</f>
        <v/>
      </c>
      <c r="D18" s="75" t="str">
        <f aca="false">IF($M18="","",IF(INDEX(Itinerary!$D$6:$D$85,$M18)="","",INDEX(Itinerary!$D$6:$D$85,$M18)))</f>
        <v/>
      </c>
      <c r="E18" s="75"/>
      <c r="F18" s="75" t="str">
        <f aca="false">IF($M18="","",IF(INDEX(Itinerary!$F$6:$F$85,$M18)="","",INDEX(Itinerary!$F$6:$F$85,$M18)))</f>
        <v/>
      </c>
      <c r="G18" s="75" t="str">
        <f aca="false">IF($M18="","",IF(INDEX(Itinerary!$G$6:$G$85,$M18)="","",INDEX(Itinerary!$G$6:$G$85,$M18)))</f>
        <v/>
      </c>
      <c r="H18" s="75" t="str">
        <f aca="false">IF($M18="","",IF(INDEX(Itinerary!$L$6:$L$85,$M18)="","",INDEX(Itinerary!$L$6:$L$85,$M18)))</f>
        <v/>
      </c>
      <c r="L18" s="60" t="str">
        <f aca="false">IF(TodayDay="","",IFERROR(SMALL(Itinerary!$M$6:$M$85,COUNTIF(Itinerary!$M$6:$M$85,"&lt;"&amp;TodayDay)+8),""))</f>
        <v/>
      </c>
      <c r="M18" s="60" t="str">
        <f aca="false">IF(L18="","",IF(INT(L18)&lt;&gt;TodayDay,"",MATCH(L18,Itinerary!$M$6:$M$85,0)))</f>
        <v/>
      </c>
    </row>
    <row r="19" customFormat="false" ht="15" hidden="false" customHeight="false" outlineLevel="0" collapsed="false">
      <c r="B19" s="74" t="str">
        <f aca="false">IF($M19="","",IF(INDEX(Itinerary!$B$6:$B$85,$M19)="","",INDEX(Itinerary!$B$6:$B$85,$M19)))</f>
        <v/>
      </c>
      <c r="C19" s="75" t="str">
        <f aca="false">IF($M19="","",IF(INDEX(Itinerary!$C$6:$C$85,$M19)="","",INDEX(Itinerary!$C$6:$C$85,$M19)))</f>
        <v/>
      </c>
      <c r="D19" s="75" t="str">
        <f aca="false">IF($M19="","",IF(INDEX(Itinerary!$D$6:$D$85,$M19)="","",INDEX(Itinerary!$D$6:$D$85,$M19)))</f>
        <v/>
      </c>
      <c r="E19" s="75"/>
      <c r="F19" s="75" t="str">
        <f aca="false">IF($M19="","",IF(INDEX(Itinerary!$F$6:$F$85,$M19)="","",INDEX(Itinerary!$F$6:$F$85,$M19)))</f>
        <v/>
      </c>
      <c r="G19" s="75" t="str">
        <f aca="false">IF($M19="","",IF(INDEX(Itinerary!$G$6:$G$85,$M19)="","",INDEX(Itinerary!$G$6:$G$85,$M19)))</f>
        <v/>
      </c>
      <c r="H19" s="75" t="str">
        <f aca="false">IF($M19="","",IF(INDEX(Itinerary!$L$6:$L$85,$M19)="","",INDEX(Itinerary!$L$6:$L$85,$M19)))</f>
        <v/>
      </c>
      <c r="L19" s="60" t="str">
        <f aca="false">IF(TodayDay="","",IFERROR(SMALL(Itinerary!$M$6:$M$85,COUNTIF(Itinerary!$M$6:$M$85,"&lt;"&amp;TodayDay)+9),""))</f>
        <v/>
      </c>
      <c r="M19" s="60" t="str">
        <f aca="false">IF(L19="","",IF(INT(L19)&lt;&gt;TodayDay,"",MATCH(L19,Itinerary!$M$6:$M$85,0)))</f>
        <v/>
      </c>
    </row>
    <row r="20" customFormat="false" ht="15" hidden="false" customHeight="false" outlineLevel="0" collapsed="false">
      <c r="B20" s="74" t="str">
        <f aca="false">IF($M20="","",IF(INDEX(Itinerary!$B$6:$B$85,$M20)="","",INDEX(Itinerary!$B$6:$B$85,$M20)))</f>
        <v/>
      </c>
      <c r="C20" s="75" t="str">
        <f aca="false">IF($M20="","",IF(INDEX(Itinerary!$C$6:$C$85,$M20)="","",INDEX(Itinerary!$C$6:$C$85,$M20)))</f>
        <v/>
      </c>
      <c r="D20" s="75" t="str">
        <f aca="false">IF($M20="","",IF(INDEX(Itinerary!$D$6:$D$85,$M20)="","",INDEX(Itinerary!$D$6:$D$85,$M20)))</f>
        <v/>
      </c>
      <c r="E20" s="75"/>
      <c r="F20" s="75" t="str">
        <f aca="false">IF($M20="","",IF(INDEX(Itinerary!$F$6:$F$85,$M20)="","",INDEX(Itinerary!$F$6:$F$85,$M20)))</f>
        <v/>
      </c>
      <c r="G20" s="75" t="str">
        <f aca="false">IF($M20="","",IF(INDEX(Itinerary!$G$6:$G$85,$M20)="","",INDEX(Itinerary!$G$6:$G$85,$M20)))</f>
        <v/>
      </c>
      <c r="H20" s="75" t="str">
        <f aca="false">IF($M20="","",IF(INDEX(Itinerary!$L$6:$L$85,$M20)="","",INDEX(Itinerary!$L$6:$L$85,$M20)))</f>
        <v/>
      </c>
      <c r="L20" s="60" t="str">
        <f aca="false">IF(TodayDay="","",IFERROR(SMALL(Itinerary!$M$6:$M$85,COUNTIF(Itinerary!$M$6:$M$85,"&lt;"&amp;TodayDay)+10),""))</f>
        <v/>
      </c>
      <c r="M20" s="60" t="str">
        <f aca="false">IF(L20="","",IF(INT(L20)&lt;&gt;TodayDay,"",MATCH(L20,Itinerary!$M$6:$M$85,0)))</f>
        <v/>
      </c>
    </row>
    <row r="21" customFormat="false" ht="15" hidden="false" customHeight="false" outlineLevel="0" collapsed="false">
      <c r="B21" s="74" t="str">
        <f aca="false">IF($M21="","",IF(INDEX(Itinerary!$B$6:$B$85,$M21)="","",INDEX(Itinerary!$B$6:$B$85,$M21)))</f>
        <v/>
      </c>
      <c r="C21" s="75" t="str">
        <f aca="false">IF($M21="","",IF(INDEX(Itinerary!$C$6:$C$85,$M21)="","",INDEX(Itinerary!$C$6:$C$85,$M21)))</f>
        <v/>
      </c>
      <c r="D21" s="75" t="str">
        <f aca="false">IF($M21="","",IF(INDEX(Itinerary!$D$6:$D$85,$M21)="","",INDEX(Itinerary!$D$6:$D$85,$M21)))</f>
        <v/>
      </c>
      <c r="E21" s="75"/>
      <c r="F21" s="75" t="str">
        <f aca="false">IF($M21="","",IF(INDEX(Itinerary!$F$6:$F$85,$M21)="","",INDEX(Itinerary!$F$6:$F$85,$M21)))</f>
        <v/>
      </c>
      <c r="G21" s="75" t="str">
        <f aca="false">IF($M21="","",IF(INDEX(Itinerary!$G$6:$G$85,$M21)="","",INDEX(Itinerary!$G$6:$G$85,$M21)))</f>
        <v/>
      </c>
      <c r="H21" s="75" t="str">
        <f aca="false">IF($M21="","",IF(INDEX(Itinerary!$L$6:$L$85,$M21)="","",INDEX(Itinerary!$L$6:$L$85,$M21)))</f>
        <v/>
      </c>
      <c r="L21" s="60" t="str">
        <f aca="false">IF(TodayDay="","",IFERROR(SMALL(Itinerary!$M$6:$M$85,COUNTIF(Itinerary!$M$6:$M$85,"&lt;"&amp;TodayDay)+11),""))</f>
        <v/>
      </c>
      <c r="M21" s="60" t="str">
        <f aca="false">IF(L21="","",IF(INT(L21)&lt;&gt;TodayDay,"",MATCH(L21,Itinerary!$M$6:$M$85,0)))</f>
        <v/>
      </c>
    </row>
    <row r="22" customFormat="false" ht="15" hidden="false" customHeight="false" outlineLevel="0" collapsed="false">
      <c r="B22" s="74" t="str">
        <f aca="false">IF($M22="","",IF(INDEX(Itinerary!$B$6:$B$85,$M22)="","",INDEX(Itinerary!$B$6:$B$85,$M22)))</f>
        <v/>
      </c>
      <c r="C22" s="75" t="str">
        <f aca="false">IF($M22="","",IF(INDEX(Itinerary!$C$6:$C$85,$M22)="","",INDEX(Itinerary!$C$6:$C$85,$M22)))</f>
        <v/>
      </c>
      <c r="D22" s="75" t="str">
        <f aca="false">IF($M22="","",IF(INDEX(Itinerary!$D$6:$D$85,$M22)="","",INDEX(Itinerary!$D$6:$D$85,$M22)))</f>
        <v/>
      </c>
      <c r="E22" s="75"/>
      <c r="F22" s="75" t="str">
        <f aca="false">IF($M22="","",IF(INDEX(Itinerary!$F$6:$F$85,$M22)="","",INDEX(Itinerary!$F$6:$F$85,$M22)))</f>
        <v/>
      </c>
      <c r="G22" s="75" t="str">
        <f aca="false">IF($M22="","",IF(INDEX(Itinerary!$G$6:$G$85,$M22)="","",INDEX(Itinerary!$G$6:$G$85,$M22)))</f>
        <v/>
      </c>
      <c r="H22" s="75" t="str">
        <f aca="false">IF($M22="","",IF(INDEX(Itinerary!$L$6:$L$85,$M22)="","",INDEX(Itinerary!$L$6:$L$85,$M22)))</f>
        <v/>
      </c>
      <c r="L22" s="60" t="str">
        <f aca="false">IF(TodayDay="","",IFERROR(SMALL(Itinerary!$M$6:$M$85,COUNTIF(Itinerary!$M$6:$M$85,"&lt;"&amp;TodayDay)+12),""))</f>
        <v/>
      </c>
      <c r="M22" s="60" t="str">
        <f aca="false">IF(L22="","",IF(INT(L22)&lt;&gt;TodayDay,"",MATCH(L22,Itinerary!$M$6:$M$85,0)))</f>
        <v/>
      </c>
    </row>
    <row r="23" customFormat="false" ht="15" hidden="false" customHeight="false" outlineLevel="0" collapsed="false">
      <c r="C23" s="76" t="str">
        <f aca="false">IF(TodayDay="","",IF(COUNT(M11:M22)=0,"Nothing planned yet — add rows on the Itinerary tab.",""))</f>
        <v/>
      </c>
    </row>
    <row r="25" customFormat="false" ht="15" hidden="false" customHeight="false" outlineLevel="0" collapsed="false">
      <c r="B25" s="19" t="s">
        <v>166</v>
      </c>
    </row>
    <row r="26" customFormat="false" ht="30" hidden="false" customHeight="true" outlineLevel="0" collapsed="false">
      <c r="B26" s="22" t="s">
        <v>167</v>
      </c>
      <c r="C26" s="22"/>
      <c r="D26" s="22" t="s">
        <v>100</v>
      </c>
      <c r="E26" s="22" t="s">
        <v>168</v>
      </c>
      <c r="F26" s="22" t="s">
        <v>169</v>
      </c>
      <c r="G26" s="22" t="s">
        <v>170</v>
      </c>
    </row>
    <row r="27" customFormat="false" ht="15" hidden="false" customHeight="false" outlineLevel="0" collapsed="false">
      <c r="B27" s="75" t="str">
        <f aca="false">IFERROR(INDEX(Expenses!$C$6:$C$205,MATCH(1,Expenses!$AR$6:$AR$205,0))&amp;"","")</f>
        <v/>
      </c>
      <c r="C27" s="75"/>
      <c r="D27" s="75" t="str">
        <f aca="false">IFERROR(INDEX(Expenses!$B$6:$B$205,MATCH(1,Expenses!$AR$6:$AR$205,0))&amp;"","")</f>
        <v/>
      </c>
      <c r="E27" s="77" t="str">
        <f aca="false">IFERROR(INDEX(Expenses!$S$6:$S$205,MATCH(1,Expenses!$AR$6:$AR$205,0)),"")</f>
        <v/>
      </c>
      <c r="F27" s="75" t="str">
        <f aca="false">IFERROR(INDEX(Expenses!$F$6:$F$205,MATCH(1,Expenses!$AR$6:$AR$205,0))&amp;"","")</f>
        <v/>
      </c>
      <c r="G27" s="75" t="str">
        <f aca="false">IFERROR(INDEX(Expenses!$H$6:$H$205,MATCH(1,Expenses!$AR$6:$AR$205,0))&amp;"","")</f>
        <v/>
      </c>
    </row>
    <row r="28" customFormat="false" ht="15" hidden="false" customHeight="false" outlineLevel="0" collapsed="false">
      <c r="B28" s="75" t="str">
        <f aca="false">IFERROR(INDEX(Expenses!$C$6:$C$205,MATCH(2,Expenses!$AR$6:$AR$205,0))&amp;"","")</f>
        <v/>
      </c>
      <c r="C28" s="75"/>
      <c r="D28" s="75" t="str">
        <f aca="false">IFERROR(INDEX(Expenses!$B$6:$B$205,MATCH(2,Expenses!$AR$6:$AR$205,0))&amp;"","")</f>
        <v/>
      </c>
      <c r="E28" s="77" t="str">
        <f aca="false">IFERROR(INDEX(Expenses!$S$6:$S$205,MATCH(2,Expenses!$AR$6:$AR$205,0)),"")</f>
        <v/>
      </c>
      <c r="F28" s="75" t="str">
        <f aca="false">IFERROR(INDEX(Expenses!$F$6:$F$205,MATCH(2,Expenses!$AR$6:$AR$205,0))&amp;"","")</f>
        <v/>
      </c>
      <c r="G28" s="75" t="str">
        <f aca="false">IFERROR(INDEX(Expenses!$H$6:$H$205,MATCH(2,Expenses!$AR$6:$AR$205,0))&amp;"","")</f>
        <v/>
      </c>
    </row>
    <row r="29" customFormat="false" ht="15" hidden="false" customHeight="false" outlineLevel="0" collapsed="false">
      <c r="B29" s="75" t="str">
        <f aca="false">IFERROR(INDEX(Expenses!$C$6:$C$205,MATCH(3,Expenses!$AR$6:$AR$205,0))&amp;"","")</f>
        <v/>
      </c>
      <c r="C29" s="75"/>
      <c r="D29" s="75" t="str">
        <f aca="false">IFERROR(INDEX(Expenses!$B$6:$B$205,MATCH(3,Expenses!$AR$6:$AR$205,0))&amp;"","")</f>
        <v/>
      </c>
      <c r="E29" s="77" t="str">
        <f aca="false">IFERROR(INDEX(Expenses!$S$6:$S$205,MATCH(3,Expenses!$AR$6:$AR$205,0)),"")</f>
        <v/>
      </c>
      <c r="F29" s="75" t="str">
        <f aca="false">IFERROR(INDEX(Expenses!$F$6:$F$205,MATCH(3,Expenses!$AR$6:$AR$205,0))&amp;"","")</f>
        <v/>
      </c>
      <c r="G29" s="75" t="str">
        <f aca="false">IFERROR(INDEX(Expenses!$H$6:$H$205,MATCH(3,Expenses!$AR$6:$AR$205,0))&amp;"","")</f>
        <v/>
      </c>
    </row>
    <row r="30" customFormat="false" ht="15" hidden="false" customHeight="false" outlineLevel="0" collapsed="false">
      <c r="B30" s="75" t="str">
        <f aca="false">IFERROR(INDEX(Expenses!$C$6:$C$205,MATCH(4,Expenses!$AR$6:$AR$205,0))&amp;"","")</f>
        <v/>
      </c>
      <c r="C30" s="75"/>
      <c r="D30" s="75" t="str">
        <f aca="false">IFERROR(INDEX(Expenses!$B$6:$B$205,MATCH(4,Expenses!$AR$6:$AR$205,0))&amp;"","")</f>
        <v/>
      </c>
      <c r="E30" s="77" t="str">
        <f aca="false">IFERROR(INDEX(Expenses!$S$6:$S$205,MATCH(4,Expenses!$AR$6:$AR$205,0)),"")</f>
        <v/>
      </c>
      <c r="F30" s="75" t="str">
        <f aca="false">IFERROR(INDEX(Expenses!$F$6:$F$205,MATCH(4,Expenses!$AR$6:$AR$205,0))&amp;"","")</f>
        <v/>
      </c>
      <c r="G30" s="75" t="str">
        <f aca="false">IFERROR(INDEX(Expenses!$H$6:$H$205,MATCH(4,Expenses!$AR$6:$AR$205,0))&amp;"","")</f>
        <v/>
      </c>
    </row>
    <row r="31" customFormat="false" ht="15" hidden="false" customHeight="false" outlineLevel="0" collapsed="false">
      <c r="B31" s="75" t="str">
        <f aca="false">IFERROR(INDEX(Expenses!$C$6:$C$205,MATCH(5,Expenses!$AR$6:$AR$205,0))&amp;"","")</f>
        <v/>
      </c>
      <c r="C31" s="75"/>
      <c r="D31" s="75" t="str">
        <f aca="false">IFERROR(INDEX(Expenses!$B$6:$B$205,MATCH(5,Expenses!$AR$6:$AR$205,0))&amp;"","")</f>
        <v/>
      </c>
      <c r="E31" s="77" t="str">
        <f aca="false">IFERROR(INDEX(Expenses!$S$6:$S$205,MATCH(5,Expenses!$AR$6:$AR$205,0)),"")</f>
        <v/>
      </c>
      <c r="F31" s="75" t="str">
        <f aca="false">IFERROR(INDEX(Expenses!$F$6:$F$205,MATCH(5,Expenses!$AR$6:$AR$205,0))&amp;"","")</f>
        <v/>
      </c>
      <c r="G31" s="75" t="str">
        <f aca="false">IFERROR(INDEX(Expenses!$H$6:$H$205,MATCH(5,Expenses!$AR$6:$AR$205,0))&amp;"","")</f>
        <v/>
      </c>
    </row>
    <row r="32" customFormat="false" ht="15" hidden="false" customHeight="false" outlineLevel="0" collapsed="false">
      <c r="B32" s="75" t="str">
        <f aca="false">IFERROR(INDEX(Expenses!$C$6:$C$205,MATCH(6,Expenses!$AR$6:$AR$205,0))&amp;"","")</f>
        <v/>
      </c>
      <c r="C32" s="75"/>
      <c r="D32" s="75" t="str">
        <f aca="false">IFERROR(INDEX(Expenses!$B$6:$B$205,MATCH(6,Expenses!$AR$6:$AR$205,0))&amp;"","")</f>
        <v/>
      </c>
      <c r="E32" s="77" t="str">
        <f aca="false">IFERROR(INDEX(Expenses!$S$6:$S$205,MATCH(6,Expenses!$AR$6:$AR$205,0)),"")</f>
        <v/>
      </c>
      <c r="F32" s="75" t="str">
        <f aca="false">IFERROR(INDEX(Expenses!$F$6:$F$205,MATCH(6,Expenses!$AR$6:$AR$205,0))&amp;"","")</f>
        <v/>
      </c>
      <c r="G32" s="75" t="str">
        <f aca="false">IFERROR(INDEX(Expenses!$H$6:$H$205,MATCH(6,Expenses!$AR$6:$AR$205,0))&amp;"","")</f>
        <v/>
      </c>
    </row>
    <row r="33" customFormat="false" ht="15" hidden="false" customHeight="false" outlineLevel="0" collapsed="false">
      <c r="B33" s="75" t="str">
        <f aca="false">IFERROR(INDEX(Expenses!$C$6:$C$205,MATCH(7,Expenses!$AR$6:$AR$205,0))&amp;"","")</f>
        <v/>
      </c>
      <c r="C33" s="75"/>
      <c r="D33" s="75" t="str">
        <f aca="false">IFERROR(INDEX(Expenses!$B$6:$B$205,MATCH(7,Expenses!$AR$6:$AR$205,0))&amp;"","")</f>
        <v/>
      </c>
      <c r="E33" s="77" t="str">
        <f aca="false">IFERROR(INDEX(Expenses!$S$6:$S$205,MATCH(7,Expenses!$AR$6:$AR$205,0)),"")</f>
        <v/>
      </c>
      <c r="F33" s="75" t="str">
        <f aca="false">IFERROR(INDEX(Expenses!$F$6:$F$205,MATCH(7,Expenses!$AR$6:$AR$205,0))&amp;"","")</f>
        <v/>
      </c>
      <c r="G33" s="75" t="str">
        <f aca="false">IFERROR(INDEX(Expenses!$H$6:$H$205,MATCH(7,Expenses!$AR$6:$AR$205,0))&amp;"","")</f>
        <v/>
      </c>
    </row>
    <row r="34" customFormat="false" ht="15" hidden="false" customHeight="false" outlineLevel="0" collapsed="false">
      <c r="B34" s="75" t="str">
        <f aca="false">IFERROR(INDEX(Expenses!$C$6:$C$205,MATCH(8,Expenses!$AR$6:$AR$205,0))&amp;"","")</f>
        <v/>
      </c>
      <c r="C34" s="75"/>
      <c r="D34" s="75" t="str">
        <f aca="false">IFERROR(INDEX(Expenses!$B$6:$B$205,MATCH(8,Expenses!$AR$6:$AR$205,0))&amp;"","")</f>
        <v/>
      </c>
      <c r="E34" s="77" t="str">
        <f aca="false">IFERROR(INDEX(Expenses!$S$6:$S$205,MATCH(8,Expenses!$AR$6:$AR$205,0)),"")</f>
        <v/>
      </c>
      <c r="F34" s="75" t="str">
        <f aca="false">IFERROR(INDEX(Expenses!$F$6:$F$205,MATCH(8,Expenses!$AR$6:$AR$205,0))&amp;"","")</f>
        <v/>
      </c>
      <c r="G34" s="75" t="str">
        <f aca="false">IFERROR(INDEX(Expenses!$H$6:$H$205,MATCH(8,Expenses!$AR$6:$AR$205,0))&amp;"","")</f>
        <v/>
      </c>
    </row>
    <row r="35" customFormat="false" ht="15" hidden="false" customHeight="false" outlineLevel="0" collapsed="false">
      <c r="B35" s="75" t="str">
        <f aca="false">IFERROR(INDEX(Expenses!$C$6:$C$205,MATCH(9,Expenses!$AR$6:$AR$205,0))&amp;"","")</f>
        <v/>
      </c>
      <c r="C35" s="75"/>
      <c r="D35" s="75" t="str">
        <f aca="false">IFERROR(INDEX(Expenses!$B$6:$B$205,MATCH(9,Expenses!$AR$6:$AR$205,0))&amp;"","")</f>
        <v/>
      </c>
      <c r="E35" s="77" t="str">
        <f aca="false">IFERROR(INDEX(Expenses!$S$6:$S$205,MATCH(9,Expenses!$AR$6:$AR$205,0)),"")</f>
        <v/>
      </c>
      <c r="F35" s="75" t="str">
        <f aca="false">IFERROR(INDEX(Expenses!$F$6:$F$205,MATCH(9,Expenses!$AR$6:$AR$205,0))&amp;"","")</f>
        <v/>
      </c>
      <c r="G35" s="75" t="str">
        <f aca="false">IFERROR(INDEX(Expenses!$H$6:$H$205,MATCH(9,Expenses!$AR$6:$AR$205,0))&amp;"","")</f>
        <v/>
      </c>
    </row>
    <row r="36" customFormat="false" ht="15" hidden="false" customHeight="false" outlineLevel="0" collapsed="false">
      <c r="B36" s="75" t="str">
        <f aca="false">IFERROR(INDEX(Expenses!$C$6:$C$205,MATCH(10,Expenses!$AR$6:$AR$205,0))&amp;"","")</f>
        <v/>
      </c>
      <c r="C36" s="75"/>
      <c r="D36" s="75" t="str">
        <f aca="false">IFERROR(INDEX(Expenses!$B$6:$B$205,MATCH(10,Expenses!$AR$6:$AR$205,0))&amp;"","")</f>
        <v/>
      </c>
      <c r="E36" s="77" t="str">
        <f aca="false">IFERROR(INDEX(Expenses!$S$6:$S$205,MATCH(10,Expenses!$AR$6:$AR$205,0)),"")</f>
        <v/>
      </c>
      <c r="F36" s="75" t="str">
        <f aca="false">IFERROR(INDEX(Expenses!$F$6:$F$205,MATCH(10,Expenses!$AR$6:$AR$205,0))&amp;"","")</f>
        <v/>
      </c>
      <c r="G36" s="75" t="str">
        <f aca="false">IFERROR(INDEX(Expenses!$H$6:$H$205,MATCH(10,Expenses!$AR$6:$AR$205,0))&amp;"","")</f>
        <v/>
      </c>
    </row>
  </sheetData>
  <sheetProtection sheet="true" password="ecf5" formatRows="false"/>
  <mergeCells count="34">
    <mergeCell ref="C4:D4"/>
    <mergeCell ref="E4:H4"/>
    <mergeCell ref="B6:C6"/>
    <mergeCell ref="D6:E6"/>
    <mergeCell ref="F6:G6"/>
    <mergeCell ref="H6:I6"/>
    <mergeCell ref="B7:C7"/>
    <mergeCell ref="D7:E7"/>
    <mergeCell ref="F7:G7"/>
    <mergeCell ref="H7:I7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</mergeCells>
  <dataValidations count="1">
    <dataValidation allowBlank="true" error="Please pick from the list (click the ▼ arrow)." errorStyle="stop" errorTitle="Pick from the list" operator="between" prompt="Pick any day of the trip." promptTitle="Day" showDropDown="false" showErrorMessage="true" showInputMessage="true" sqref="C4" type="list">
      <formula1>DayList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45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26"/>
    <col collapsed="false" customWidth="true" hidden="false" outlineLevel="0" max="3" min="3" style="0" width="16"/>
    <col collapsed="false" customWidth="true" hidden="false" outlineLevel="0" max="4" min="4" style="0" width="22"/>
    <col collapsed="false" customWidth="true" hidden="false" outlineLevel="0" max="5" min="5" style="0" width="24"/>
    <col collapsed="false" customWidth="true" hidden="false" outlineLevel="0" max="6" min="6" style="0" width="26"/>
    <col collapsed="false" customWidth="true" hidden="false" outlineLevel="0" max="7" min="7" style="0" width="14"/>
    <col collapsed="false" customWidth="true" hidden="false" outlineLevel="0" max="8" min="8" style="0" width="12"/>
    <col collapsed="false" customWidth="true" hidden="false" outlineLevel="0" max="9" min="9" style="0" width="14"/>
    <col collapsed="false" customWidth="true" hidden="false" outlineLevel="0" max="10" min="10" style="0" width="24"/>
    <col collapsed="false" customWidth="true" hidden="false" outlineLevel="0" max="11" min="11" style="0" width="12"/>
    <col collapsed="false" customWidth="true" hidden="true" outlineLevel="0" max="12" min="12" style="0" width="13"/>
  </cols>
  <sheetData>
    <row r="1" customFormat="false" ht="33.75" hidden="false" customHeight="true" outlineLevel="0" collapsed="false">
      <c r="A1" s="16" t="s">
        <v>58</v>
      </c>
      <c r="B1" s="17" t="s">
        <v>171</v>
      </c>
    </row>
    <row r="2" customFormat="false" ht="15" hidden="false" customHeight="false" outlineLevel="0" collapsed="false">
      <c r="B2" s="18" t="s">
        <v>172</v>
      </c>
    </row>
    <row r="5" customFormat="false" ht="30" hidden="false" customHeight="true" outlineLevel="0" collapsed="false">
      <c r="A5" s="22" t="s">
        <v>149</v>
      </c>
      <c r="B5" s="22" t="s">
        <v>173</v>
      </c>
      <c r="C5" s="22" t="s">
        <v>174</v>
      </c>
      <c r="D5" s="22" t="s">
        <v>175</v>
      </c>
      <c r="E5" s="22" t="s">
        <v>176</v>
      </c>
      <c r="F5" s="22" t="s">
        <v>177</v>
      </c>
      <c r="G5" s="22" t="s">
        <v>150</v>
      </c>
      <c r="H5" s="22" t="s">
        <v>178</v>
      </c>
      <c r="I5" s="22" t="s">
        <v>179</v>
      </c>
      <c r="J5" s="22" t="s">
        <v>152</v>
      </c>
      <c r="K5" s="22" t="s">
        <v>180</v>
      </c>
    </row>
    <row r="6" customFormat="false" ht="15" hidden="false" customHeight="false" outlineLevel="0" collapsed="false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60" t="str">
        <f aca="false">IF(AND(B6&lt;&gt;"",K6&lt;&gt;"No"),COUNTIFS($B$6:B6,"&lt;&gt;",$K$6:K6,"&lt;&gt;No"),"")</f>
        <v/>
      </c>
    </row>
    <row r="7" customFormat="false" ht="15" hidden="false" customHeight="false" outlineLevel="0" collapsed="false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60" t="str">
        <f aca="false">IF(AND(B7&lt;&gt;"",K7&lt;&gt;"No"),COUNTIFS($B$6:B7,"&lt;&gt;",$K$6:K7,"&lt;&gt;No"),"")</f>
        <v/>
      </c>
    </row>
    <row r="8" customFormat="false" ht="15" hidden="false" customHeight="false" outlineLevel="0" collapsed="false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60" t="str">
        <f aca="false">IF(AND(B8&lt;&gt;"",K8&lt;&gt;"No"),COUNTIFS($B$6:B8,"&lt;&gt;",$K$6:K8,"&lt;&gt;No"),"")</f>
        <v/>
      </c>
    </row>
    <row r="9" customFormat="false" ht="15" hidden="false" customHeight="false" outlineLevel="0" collapsed="false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60" t="str">
        <f aca="false">IF(AND(B9&lt;&gt;"",K9&lt;&gt;"No"),COUNTIFS($B$6:B9,"&lt;&gt;",$K$6:K9,"&lt;&gt;No"),"")</f>
        <v/>
      </c>
    </row>
    <row r="10" customFormat="false" ht="15" hidden="false" customHeight="false" outlineLevel="0" collapsed="false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60" t="str">
        <f aca="false">IF(AND(B10&lt;&gt;"",K10&lt;&gt;"No"),COUNTIFS($B$6:B10,"&lt;&gt;",$K$6:K10,"&lt;&gt;No"),"")</f>
        <v/>
      </c>
    </row>
    <row r="11" customFormat="false" ht="15" hidden="false" customHeight="false" outlineLevel="0" collapsed="false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60" t="str">
        <f aca="false">IF(AND(B11&lt;&gt;"",K11&lt;&gt;"No"),COUNTIFS($B$6:B11,"&lt;&gt;",$K$6:K11,"&lt;&gt;No"),"")</f>
        <v/>
      </c>
    </row>
    <row r="12" customFormat="false" ht="15" hidden="false" customHeight="false" outlineLevel="0" collapsed="false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60" t="str">
        <f aca="false">IF(AND(B12&lt;&gt;"",K12&lt;&gt;"No"),COUNTIFS($B$6:B12,"&lt;&gt;",$K$6:K12,"&lt;&gt;No"),"")</f>
        <v/>
      </c>
    </row>
    <row r="13" customFormat="false" ht="15" hidden="false" customHeight="false" outlineLevel="0" collapsed="false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60" t="str">
        <f aca="false">IF(AND(B13&lt;&gt;"",K13&lt;&gt;"No"),COUNTIFS($B$6:B13,"&lt;&gt;",$K$6:K13,"&lt;&gt;No"),"")</f>
        <v/>
      </c>
    </row>
    <row r="14" customFormat="false" ht="15" hidden="false" customHeight="false" outlineLevel="0" collapsed="false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60" t="str">
        <f aca="false">IF(AND(B14&lt;&gt;"",K14&lt;&gt;"No"),COUNTIFS($B$6:B14,"&lt;&gt;",$K$6:K14,"&lt;&gt;No"),"")</f>
        <v/>
      </c>
    </row>
    <row r="15" customFormat="false" ht="15" hidden="false" customHeight="false" outlineLevel="0" collapsed="false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60" t="str">
        <f aca="false">IF(AND(B15&lt;&gt;"",K15&lt;&gt;"No"),COUNTIFS($B$6:B15,"&lt;&gt;",$K$6:K15,"&lt;&gt;No"),"")</f>
        <v/>
      </c>
    </row>
    <row r="16" customFormat="false" ht="15" hidden="false" customHeight="false" outlineLevel="0" collapsed="false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60" t="str">
        <f aca="false">IF(AND(B16&lt;&gt;"",K16&lt;&gt;"No"),COUNTIFS($B$6:B16,"&lt;&gt;",$K$6:K16,"&lt;&gt;No"),"")</f>
        <v/>
      </c>
    </row>
    <row r="17" customFormat="false" ht="15" hidden="false" customHeight="false" outlineLevel="0" collapsed="false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60" t="str">
        <f aca="false">IF(AND(B17&lt;&gt;"",K17&lt;&gt;"No"),COUNTIFS($B$6:B17,"&lt;&gt;",$K$6:K17,"&lt;&gt;No"),"")</f>
        <v/>
      </c>
    </row>
    <row r="18" customFormat="false" ht="15" hidden="false" customHeight="false" outlineLevel="0" collapsed="false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60" t="str">
        <f aca="false">IF(AND(B18&lt;&gt;"",K18&lt;&gt;"No"),COUNTIFS($B$6:B18,"&lt;&gt;",$K$6:K18,"&lt;&gt;No"),"")</f>
        <v/>
      </c>
    </row>
    <row r="19" customFormat="false" ht="15" hidden="false" customHeight="false" outlineLevel="0" collapsed="false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60" t="str">
        <f aca="false">IF(AND(B19&lt;&gt;"",K19&lt;&gt;"No"),COUNTIFS($B$6:B19,"&lt;&gt;",$K$6:K19,"&lt;&gt;No"),"")</f>
        <v/>
      </c>
    </row>
    <row r="20" customFormat="false" ht="15" hidden="false" customHeight="false" outlineLevel="0" collapsed="false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60" t="str">
        <f aca="false">IF(AND(B20&lt;&gt;"",K20&lt;&gt;"No"),COUNTIFS($B$6:B20,"&lt;&gt;",$K$6:K20,"&lt;&gt;No"),"")</f>
        <v/>
      </c>
    </row>
    <row r="21" customFormat="false" ht="15" hidden="false" customHeight="false" outlineLevel="0" collapsed="false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60" t="str">
        <f aca="false">IF(AND(B21&lt;&gt;"",K21&lt;&gt;"No"),COUNTIFS($B$6:B21,"&lt;&gt;",$K$6:K21,"&lt;&gt;No"),"")</f>
        <v/>
      </c>
    </row>
    <row r="22" customFormat="false" ht="15" hidden="false" customHeight="false" outlineLevel="0" collapsed="false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60" t="str">
        <f aca="false">IF(AND(B22&lt;&gt;"",K22&lt;&gt;"No"),COUNTIFS($B$6:B22,"&lt;&gt;",$K$6:K22,"&lt;&gt;No"),"")</f>
        <v/>
      </c>
    </row>
    <row r="23" customFormat="false" ht="15" hidden="false" customHeight="false" outlineLevel="0" collapsed="false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60" t="str">
        <f aca="false">IF(AND(B23&lt;&gt;"",K23&lt;&gt;"No"),COUNTIFS($B$6:B23,"&lt;&gt;",$K$6:K23,"&lt;&gt;No"),"")</f>
        <v/>
      </c>
    </row>
    <row r="24" customFormat="false" ht="15" hidden="false" customHeight="false" outlineLevel="0" collapsed="false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60" t="str">
        <f aca="false">IF(AND(B24&lt;&gt;"",K24&lt;&gt;"No"),COUNTIFS($B$6:B24,"&lt;&gt;",$K$6:K24,"&lt;&gt;No"),"")</f>
        <v/>
      </c>
    </row>
    <row r="25" customFormat="false" ht="15" hidden="false" customHeight="false" outlineLevel="0" collapsed="false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60" t="str">
        <f aca="false">IF(AND(B25&lt;&gt;"",K25&lt;&gt;"No"),COUNTIFS($B$6:B25,"&lt;&gt;",$K$6:K25,"&lt;&gt;No"),"")</f>
        <v/>
      </c>
    </row>
    <row r="26" customFormat="false" ht="15" hidden="false" customHeight="false" outlineLevel="0" collapsed="false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60" t="str">
        <f aca="false">IF(AND(B26&lt;&gt;"",K26&lt;&gt;"No"),COUNTIFS($B$6:B26,"&lt;&gt;",$K$6:K26,"&lt;&gt;No"),"")</f>
        <v/>
      </c>
    </row>
    <row r="27" customFormat="false" ht="15" hidden="false" customHeight="false" outlineLevel="0" collapsed="false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60" t="str">
        <f aca="false">IF(AND(B27&lt;&gt;"",K27&lt;&gt;"No"),COUNTIFS($B$6:B27,"&lt;&gt;",$K$6:K27,"&lt;&gt;No"),"")</f>
        <v/>
      </c>
    </row>
    <row r="28" customFormat="false" ht="15" hidden="false" customHeight="false" outlineLevel="0" collapsed="false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60" t="str">
        <f aca="false">IF(AND(B28&lt;&gt;"",K28&lt;&gt;"No"),COUNTIFS($B$6:B28,"&lt;&gt;",$K$6:K28,"&lt;&gt;No"),"")</f>
        <v/>
      </c>
    </row>
    <row r="29" customFormat="false" ht="15" hidden="false" customHeight="false" outlineLevel="0" collapsed="false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60" t="str">
        <f aca="false">IF(AND(B29&lt;&gt;"",K29&lt;&gt;"No"),COUNTIFS($B$6:B29,"&lt;&gt;",$K$6:K29,"&lt;&gt;No"),"")</f>
        <v/>
      </c>
    </row>
    <row r="30" customFormat="false" ht="15" hidden="false" customHeight="false" outlineLevel="0" collapsed="false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60" t="str">
        <f aca="false">IF(AND(B30&lt;&gt;"",K30&lt;&gt;"No"),COUNTIFS($B$6:B30,"&lt;&gt;",$K$6:K30,"&lt;&gt;No"),"")</f>
        <v/>
      </c>
    </row>
    <row r="31" customFormat="false" ht="15" hidden="false" customHeight="false" outlineLevel="0" collapsed="false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60" t="str">
        <f aca="false">IF(AND(B31&lt;&gt;"",K31&lt;&gt;"No"),COUNTIFS($B$6:B31,"&lt;&gt;",$K$6:K31,"&lt;&gt;No"),"")</f>
        <v/>
      </c>
    </row>
    <row r="32" customFormat="false" ht="15" hidden="false" customHeight="false" outlineLevel="0" collapsed="false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60" t="str">
        <f aca="false">IF(AND(B32&lt;&gt;"",K32&lt;&gt;"No"),COUNTIFS($B$6:B32,"&lt;&gt;",$K$6:K32,"&lt;&gt;No"),"")</f>
        <v/>
      </c>
    </row>
    <row r="33" customFormat="false" ht="15" hidden="false" customHeight="false" outlineLevel="0" collapsed="false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60" t="str">
        <f aca="false">IF(AND(B33&lt;&gt;"",K33&lt;&gt;"No"),COUNTIFS($B$6:B33,"&lt;&gt;",$K$6:K33,"&lt;&gt;No"),"")</f>
        <v/>
      </c>
    </row>
    <row r="34" customFormat="false" ht="15" hidden="false" customHeight="false" outlineLevel="0" collapsed="false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60" t="str">
        <f aca="false">IF(AND(B34&lt;&gt;"",K34&lt;&gt;"No"),COUNTIFS($B$6:B34,"&lt;&gt;",$K$6:K34,"&lt;&gt;No"),"")</f>
        <v/>
      </c>
    </row>
    <row r="35" customFormat="false" ht="15" hidden="false" customHeight="false" outlineLevel="0" collapsed="false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60" t="str">
        <f aca="false">IF(AND(B35&lt;&gt;"",K35&lt;&gt;"No"),COUNTIFS($B$6:B35,"&lt;&gt;",$K$6:K35,"&lt;&gt;No"),"")</f>
        <v/>
      </c>
    </row>
    <row r="36" customFormat="false" ht="15" hidden="false" customHeight="false" outlineLevel="0" collapsed="false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60" t="str">
        <f aca="false">IF(AND(B36&lt;&gt;"",K36&lt;&gt;"No"),COUNTIFS($B$6:B36,"&lt;&gt;",$K$6:K36,"&lt;&gt;No"),"")</f>
        <v/>
      </c>
    </row>
    <row r="37" customFormat="false" ht="15" hidden="false" customHeight="false" outlineLevel="0" collapsed="false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60" t="str">
        <f aca="false">IF(AND(B37&lt;&gt;"",K37&lt;&gt;"No"),COUNTIFS($B$6:B37,"&lt;&gt;",$K$6:K37,"&lt;&gt;No"),"")</f>
        <v/>
      </c>
    </row>
    <row r="38" customFormat="false" ht="15" hidden="false" customHeight="false" outlineLevel="0" collapsed="false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60" t="str">
        <f aca="false">IF(AND(B38&lt;&gt;"",K38&lt;&gt;"No"),COUNTIFS($B$6:B38,"&lt;&gt;",$K$6:K38,"&lt;&gt;No"),"")</f>
        <v/>
      </c>
    </row>
    <row r="39" customFormat="false" ht="15" hidden="false" customHeight="false" outlineLevel="0" collapsed="false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60" t="str">
        <f aca="false">IF(AND(B39&lt;&gt;"",K39&lt;&gt;"No"),COUNTIFS($B$6:B39,"&lt;&gt;",$K$6:K39,"&lt;&gt;No"),"")</f>
        <v/>
      </c>
    </row>
    <row r="40" customFormat="false" ht="15" hidden="false" customHeight="false" outlineLevel="0" collapsed="false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60" t="str">
        <f aca="false">IF(AND(B40&lt;&gt;"",K40&lt;&gt;"No"),COUNTIFS($B$6:B40,"&lt;&gt;",$K$6:K40,"&lt;&gt;No"),"")</f>
        <v/>
      </c>
    </row>
    <row r="41" customFormat="false" ht="15" hidden="false" customHeight="false" outlineLevel="0" collapsed="false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60" t="str">
        <f aca="false">IF(AND(B41&lt;&gt;"",K41&lt;&gt;"No"),COUNTIFS($B$6:B41,"&lt;&gt;",$K$6:K41,"&lt;&gt;No"),"")</f>
        <v/>
      </c>
    </row>
    <row r="42" customFormat="false" ht="15" hidden="false" customHeight="false" outlineLevel="0" collapsed="false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60" t="str">
        <f aca="false">IF(AND(B42&lt;&gt;"",K42&lt;&gt;"No"),COUNTIFS($B$6:B42,"&lt;&gt;",$K$6:K42,"&lt;&gt;No"),"")</f>
        <v/>
      </c>
    </row>
    <row r="43" customFormat="false" ht="15" hidden="false" customHeight="false" outlineLevel="0" collapsed="false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60" t="str">
        <f aca="false">IF(AND(B43&lt;&gt;"",K43&lt;&gt;"No"),COUNTIFS($B$6:B43,"&lt;&gt;",$K$6:K43,"&lt;&gt;No"),"")</f>
        <v/>
      </c>
    </row>
    <row r="44" customFormat="false" ht="15" hidden="false" customHeight="false" outlineLevel="0" collapsed="false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60" t="str">
        <f aca="false">IF(AND(B44&lt;&gt;"",K44&lt;&gt;"No"),COUNTIFS($B$6:B44,"&lt;&gt;",$K$6:K44,"&lt;&gt;No"),"")</f>
        <v/>
      </c>
    </row>
    <row r="45" customFormat="false" ht="15" hidden="false" customHeight="false" outlineLevel="0" collapsed="false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60" t="str">
        <f aca="false">IF(AND(B45&lt;&gt;"",K45&lt;&gt;"No"),COUNTIFS($B$6:B45,"&lt;&gt;",$K$6:K45,"&lt;&gt;No"),"")</f>
        <v/>
      </c>
    </row>
  </sheetData>
  <sheetProtection sheet="true" password="ecf5" formatRows="false"/>
  <dataValidations count="2">
    <dataValidation allowBlank="true" error="Please pick from the list (click the ▼ arrow)." errorStyle="warning" errorTitle="Pick from the list" operator="between" showDropDown="false" showErrorMessage="false" showInputMessage="false" sqref="A6:A45" type="list">
      <formula1>CTypeList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K6:K45" type="list">
      <formula1>YesNo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90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44"/>
    <col collapsed="false" customWidth="true" hidden="false" outlineLevel="0" max="3" min="3" style="0" width="13"/>
    <col collapsed="false" customWidth="true" hidden="false" outlineLevel="0" max="4" min="4" style="0" width="12"/>
    <col collapsed="false" customWidth="true" hidden="false" outlineLevel="0" max="5" min="5" style="0" width="15"/>
    <col collapsed="false" customWidth="true" hidden="false" outlineLevel="0" max="6" min="6" style="0" width="9"/>
    <col collapsed="false" customWidth="true" hidden="false" outlineLevel="0" max="7" min="7" style="0" width="34"/>
    <col collapsed="false" customWidth="true" hidden="false" outlineLevel="0" max="8" min="8" style="0" width="3"/>
    <col collapsed="false" customWidth="true" hidden="false" outlineLevel="0" max="9" min="9" style="0" width="34"/>
    <col collapsed="false" customWidth="true" hidden="false" outlineLevel="0" max="10" min="10" style="0" width="12"/>
    <col collapsed="false" customWidth="true" hidden="false" outlineLevel="0" max="11" min="11" style="0" width="10"/>
  </cols>
  <sheetData>
    <row r="1" customFormat="false" ht="33.75" hidden="false" customHeight="true" outlineLevel="0" collapsed="false">
      <c r="A1" s="16" t="s">
        <v>58</v>
      </c>
      <c r="B1" s="17" t="s">
        <v>181</v>
      </c>
    </row>
    <row r="2" customFormat="false" ht="15" hidden="false" customHeight="false" outlineLevel="0" collapsed="false">
      <c r="B2" s="18" t="s">
        <v>182</v>
      </c>
    </row>
    <row r="4" customFormat="false" ht="15" hidden="false" customHeight="false" outlineLevel="0" collapsed="false">
      <c r="B4" s="19" t="s">
        <v>183</v>
      </c>
      <c r="D4" s="65" t="str">
        <f aca="false">IF(Setup!$K$6="","","Entry rule: "&amp;Setup!$K$6)</f>
        <v/>
      </c>
      <c r="E4" s="65"/>
      <c r="F4" s="65"/>
      <c r="G4" s="65"/>
    </row>
    <row r="5" customFormat="false" ht="30" hidden="false" customHeight="true" outlineLevel="0" collapsed="false">
      <c r="B5" s="22" t="s">
        <v>184</v>
      </c>
      <c r="C5" s="22" t="s">
        <v>185</v>
      </c>
      <c r="D5" s="22" t="s">
        <v>186</v>
      </c>
      <c r="E5" s="22" t="s">
        <v>187</v>
      </c>
      <c r="F5" s="22" t="s">
        <v>188</v>
      </c>
      <c r="G5" s="22" t="s">
        <v>152</v>
      </c>
    </row>
    <row r="6" customFormat="false" ht="15" hidden="false" customHeight="false" outlineLevel="0" collapsed="false">
      <c r="B6" s="78" t="str">
        <f aca="false">Setup!$B$18&amp;""</f>
        <v/>
      </c>
      <c r="C6" s="28"/>
      <c r="D6" s="26" t="str">
        <f aca="false">IF(OR(B6="",C6=""),"",IF(TripEnd="","Add trip dates",IF(C6&gt;=TripEnd+180,"✓ OK","⚠ Under 6 months left")))</f>
        <v/>
      </c>
      <c r="E6" s="23"/>
      <c r="F6" s="23"/>
      <c r="G6" s="23"/>
    </row>
    <row r="7" customFormat="false" ht="15" hidden="false" customHeight="false" outlineLevel="0" collapsed="false">
      <c r="B7" s="78" t="str">
        <f aca="false">Setup!$B$19&amp;""</f>
        <v/>
      </c>
      <c r="C7" s="28"/>
      <c r="D7" s="26" t="str">
        <f aca="false">IF(OR(B7="",C7=""),"",IF(TripEnd="","Add trip dates",IF(C7&gt;=TripEnd+180,"✓ OK","⚠ Under 6 months left")))</f>
        <v/>
      </c>
      <c r="E7" s="23"/>
      <c r="F7" s="23"/>
      <c r="G7" s="23"/>
    </row>
    <row r="8" customFormat="false" ht="15" hidden="false" customHeight="false" outlineLevel="0" collapsed="false">
      <c r="B8" s="78" t="str">
        <f aca="false">Setup!$B$20&amp;""</f>
        <v/>
      </c>
      <c r="C8" s="28"/>
      <c r="D8" s="26" t="str">
        <f aca="false">IF(OR(B8="",C8=""),"",IF(TripEnd="","Add trip dates",IF(C8&gt;=TripEnd+180,"✓ OK","⚠ Under 6 months left")))</f>
        <v/>
      </c>
      <c r="E8" s="23"/>
      <c r="F8" s="23"/>
      <c r="G8" s="23"/>
    </row>
    <row r="9" customFormat="false" ht="15" hidden="false" customHeight="false" outlineLevel="0" collapsed="false">
      <c r="B9" s="78" t="str">
        <f aca="false">Setup!$B$21&amp;""</f>
        <v/>
      </c>
      <c r="C9" s="28"/>
      <c r="D9" s="26" t="str">
        <f aca="false">IF(OR(B9="",C9=""),"",IF(TripEnd="","Add trip dates",IF(C9&gt;=TripEnd+180,"✓ OK","⚠ Under 6 months left")))</f>
        <v/>
      </c>
      <c r="E9" s="23"/>
      <c r="F9" s="23"/>
      <c r="G9" s="23"/>
    </row>
    <row r="10" customFormat="false" ht="15" hidden="false" customHeight="false" outlineLevel="0" collapsed="false">
      <c r="B10" s="78" t="str">
        <f aca="false">Setup!$B$22&amp;""</f>
        <v/>
      </c>
      <c r="C10" s="28"/>
      <c r="D10" s="26" t="str">
        <f aca="false">IF(OR(B10="",C10=""),"",IF(TripEnd="","Add trip dates",IF(C10&gt;=TripEnd+180,"✓ OK","⚠ Under 6 months left")))</f>
        <v/>
      </c>
      <c r="E10" s="23"/>
      <c r="F10" s="23"/>
      <c r="G10" s="23"/>
    </row>
    <row r="11" customFormat="false" ht="15" hidden="false" customHeight="false" outlineLevel="0" collapsed="false">
      <c r="B11" s="78" t="str">
        <f aca="false">Setup!$B$23&amp;""</f>
        <v/>
      </c>
      <c r="C11" s="28"/>
      <c r="D11" s="26" t="str">
        <f aca="false">IF(OR(B11="",C11=""),"",IF(TripEnd="","Add trip dates",IF(C11&gt;=TripEnd+180,"✓ OK","⚠ Under 6 months left")))</f>
        <v/>
      </c>
      <c r="E11" s="23"/>
      <c r="F11" s="23"/>
      <c r="G11" s="23"/>
    </row>
    <row r="12" customFormat="false" ht="15" hidden="false" customHeight="false" outlineLevel="0" collapsed="false">
      <c r="B12" s="78" t="str">
        <f aca="false">Setup!$B$24&amp;""</f>
        <v/>
      </c>
      <c r="C12" s="28"/>
      <c r="D12" s="26" t="str">
        <f aca="false">IF(OR(B12="",C12=""),"",IF(TripEnd="","Add trip dates",IF(C12&gt;=TripEnd+180,"✓ OK","⚠ Under 6 months left")))</f>
        <v/>
      </c>
      <c r="E12" s="23"/>
      <c r="F12" s="23"/>
      <c r="G12" s="23"/>
    </row>
    <row r="13" customFormat="false" ht="15" hidden="false" customHeight="false" outlineLevel="0" collapsed="false">
      <c r="B13" s="78" t="str">
        <f aca="false">Setup!$B$25&amp;""</f>
        <v/>
      </c>
      <c r="C13" s="28"/>
      <c r="D13" s="26" t="str">
        <f aca="false">IF(OR(B13="",C13=""),"",IF(TripEnd="","Add trip dates",IF(C13&gt;=TripEnd+180,"✓ OK","⚠ Under 6 months left")))</f>
        <v/>
      </c>
      <c r="E13" s="23"/>
      <c r="F13" s="23"/>
      <c r="G13" s="23"/>
    </row>
    <row r="14" customFormat="false" ht="15" hidden="false" customHeight="false" outlineLevel="0" collapsed="false">
      <c r="B14" s="78" t="str">
        <f aca="false">Setup!$B$26&amp;""</f>
        <v/>
      </c>
      <c r="C14" s="28"/>
      <c r="D14" s="26" t="str">
        <f aca="false">IF(OR(B14="",C14=""),"",IF(TripEnd="","Add trip dates",IF(C14&gt;=TripEnd+180,"✓ OK","⚠ Under 6 months left")))</f>
        <v/>
      </c>
      <c r="E14" s="23"/>
      <c r="F14" s="23"/>
      <c r="G14" s="23"/>
    </row>
    <row r="15" customFormat="false" ht="15" hidden="false" customHeight="false" outlineLevel="0" collapsed="false">
      <c r="B15" s="78" t="str">
        <f aca="false">Setup!$B$27&amp;""</f>
        <v/>
      </c>
      <c r="C15" s="28"/>
      <c r="D15" s="26" t="str">
        <f aca="false">IF(OR(B15="",C15=""),"",IF(TripEnd="","Add trip dates",IF(C15&gt;=TripEnd+180,"✓ OK","⚠ Under 6 months left")))</f>
        <v/>
      </c>
      <c r="E15" s="23"/>
      <c r="F15" s="23"/>
      <c r="G15" s="23"/>
    </row>
    <row r="18" customFormat="false" ht="15" hidden="false" customHeight="false" outlineLevel="0" collapsed="false">
      <c r="B18" s="19" t="s">
        <v>189</v>
      </c>
      <c r="E18" s="79" t="str">
        <f aca="false">IFERROR("✓ "&amp;COUNTIF(F20:F59,"Yes")&amp;" of "&amp;SUMPRODUCT(--(LEN(B20:B59)&gt;0))&amp;" done  "&amp;REPT("█",ROUND(10*COUNTIF(F20:F59,"Yes")/SUMPRODUCT(--(LEN(B20:B59)&gt;0)),0))&amp;REPT("░",10-ROUND(10*COUNTIF(F20:F59,"Yes")/SUMPRODUCT(--(LEN(B20:B59)&gt;0)),0)),"")</f>
        <v>✓ 0 of 16 done  ░░░░░░░░░░</v>
      </c>
      <c r="F18" s="79"/>
      <c r="G18" s="79"/>
      <c r="I18" s="19" t="s">
        <v>190</v>
      </c>
      <c r="J18" s="79" t="str">
        <f aca="false">IFERROR("✓ "&amp;COUNTIF(K20:K89,"Yes")&amp;" of "&amp;SUMPRODUCT(--(LEN(I20:I89)&gt;0))&amp;" packed","")</f>
        <v>✓ 0 of 18 packed</v>
      </c>
      <c r="K18" s="79"/>
    </row>
    <row r="19" customFormat="false" ht="30" hidden="false" customHeight="true" outlineLevel="0" collapsed="false">
      <c r="B19" s="22" t="s">
        <v>191</v>
      </c>
      <c r="C19" s="22" t="s">
        <v>192</v>
      </c>
      <c r="D19" s="22" t="s">
        <v>193</v>
      </c>
      <c r="E19" s="22" t="s">
        <v>194</v>
      </c>
      <c r="F19" s="22" t="s">
        <v>153</v>
      </c>
      <c r="G19" s="22" t="s">
        <v>195</v>
      </c>
      <c r="I19" s="22" t="s">
        <v>196</v>
      </c>
      <c r="J19" s="22" t="s">
        <v>197</v>
      </c>
      <c r="K19" s="22" t="s">
        <v>198</v>
      </c>
    </row>
    <row r="20" customFormat="false" ht="15" hidden="false" customHeight="false" outlineLevel="0" collapsed="false">
      <c r="B20" s="45" t="str">
        <f aca="false">IF(Templates!$A$5="","",Templates!$A$5&amp;IF(ISNUMBER(SEARCH("visa",Templates!$A$5)),IF(Setup!$K$6="",""," — "&amp;Setup!$K$6),""))</f>
        <v>Check passports: valid 6+ months after return</v>
      </c>
      <c r="C20" s="23"/>
      <c r="D20" s="80" t="str">
        <f aca="false">IF(OR(B20="",TripStart="",Templates!$B$5=""),"",TripStart-Templates!$B$5)</f>
        <v/>
      </c>
      <c r="E20" s="81" t="str">
        <f aca="true">IF(OR(D20="",F20="Yes"),"",D20-TODAY())</f>
        <v/>
      </c>
      <c r="F20" s="23"/>
      <c r="G20" s="82" t="str">
        <f aca="false">Templates!$C$5&amp;""</f>
        <v>See Passport OK? above</v>
      </c>
      <c r="I20" s="45" t="str">
        <f aca="false">Calc!$AO$2&amp;""</f>
        <v>Passports + visa printouts</v>
      </c>
      <c r="J20" s="23"/>
      <c r="K20" s="23"/>
    </row>
    <row r="21" customFormat="false" ht="15" hidden="false" customHeight="false" outlineLevel="0" collapsed="false">
      <c r="B21" s="45" t="str">
        <f aca="false">IF(Templates!$A$6="","",Templates!$A$6&amp;IF(ISNUMBER(SEARCH("visa",Templates!$A$6)),IF(Setup!$K$6="",""," — "&amp;Setup!$K$6),""))</f>
        <v>Book flights</v>
      </c>
      <c r="C21" s="23"/>
      <c r="D21" s="80" t="str">
        <f aca="false">IF(OR(B21="",TripStart="",Templates!$B$6=""),"",TripStart-Templates!$B$6)</f>
        <v/>
      </c>
      <c r="E21" s="81" t="str">
        <f aca="true">IF(OR(D21="",F21="Yes"),"",D21-TODAY())</f>
        <v/>
      </c>
      <c r="F21" s="23"/>
      <c r="G21" s="82" t="str">
        <f aca="false">Templates!$C$6&amp;""</f>
        <v>Compare on Skyscanner; check baggage rules</v>
      </c>
      <c r="I21" s="45" t="str">
        <f aca="false">Calc!$AO$3&amp;""</f>
        <v>Flight, hotel &amp; insurance copies</v>
      </c>
      <c r="J21" s="23"/>
      <c r="K21" s="23"/>
    </row>
    <row r="22" customFormat="false" ht="15" hidden="false" customHeight="false" outlineLevel="0" collapsed="false">
      <c r="B22" s="45" t="str">
        <f aca="false">IF(Templates!$A$7="","",Templates!$A$7&amp;IF(ISNUMBER(SEARCH("visa",Templates!$A$7)),IF(Setup!$K$6="",""," — "&amp;Setup!$K$6),""))</f>
        <v>Book stays</v>
      </c>
      <c r="C22" s="23"/>
      <c r="D22" s="80" t="str">
        <f aca="false">IF(OR(B22="",TripStart="",Templates!$B$7=""),"",TripStart-Templates!$B$7)</f>
        <v/>
      </c>
      <c r="E22" s="81" t="str">
        <f aca="true">IF(OR(D22="",F22="Yes"),"",D22-TODAY())</f>
        <v/>
      </c>
      <c r="F22" s="23"/>
      <c r="G22" s="82" t="str">
        <f aca="false">Templates!$C$7&amp;""</f>
        <v>Pick free cancellation where you can</v>
      </c>
      <c r="I22" s="45" t="str">
        <f aca="false">Calc!$AO$4&amp;""</f>
        <v>Forex card + debit/credit cards</v>
      </c>
      <c r="J22" s="23"/>
      <c r="K22" s="23"/>
    </row>
    <row r="23" customFormat="false" ht="15" hidden="false" customHeight="false" outlineLevel="0" collapsed="false">
      <c r="B23" s="45" t="str">
        <f aca="false">IF(Templates!$A$8="","",Templates!$A$8&amp;IF(ISNUMBER(SEARCH("visa",Templates!$A$8)),IF(Setup!$K$6="",""," — "&amp;Setup!$K$6),""))</f>
        <v>Apply for visas / e-visas</v>
      </c>
      <c r="C23" s="23"/>
      <c r="D23" s="80" t="str">
        <f aca="false">IF(OR(B23="",TripStart="",Templates!$B$8=""),"",TripStart-Templates!$B$8)</f>
        <v/>
      </c>
      <c r="E23" s="81" t="str">
        <f aca="true">IF(OR(D23="",F23="Yes"),"",D23-TODAY())</f>
        <v/>
      </c>
      <c r="F23" s="23"/>
      <c r="G23" s="82" t="str">
        <f aca="false">Templates!$C$8&amp;""</f>
        <v>Entry rule for your country is on the Setup tab</v>
      </c>
      <c r="I23" s="45" t="str">
        <f aca="false">Calc!$AO$5&amp;""</f>
        <v>Some local cash</v>
      </c>
      <c r="J23" s="23"/>
      <c r="K23" s="23"/>
    </row>
    <row r="24" customFormat="false" ht="15" hidden="false" customHeight="false" outlineLevel="0" collapsed="false">
      <c r="B24" s="45" t="str">
        <f aca="false">IF(Templates!$A$9="","",Templates!$A$9&amp;IF(ISNUMBER(SEARCH("visa",Templates!$A$9)),IF(Setup!$K$6="",""," — "&amp;Setup!$K$6),""))</f>
        <v>Buy travel insurance</v>
      </c>
      <c r="C24" s="23"/>
      <c r="D24" s="80" t="str">
        <f aca="false">IF(OR(B24="",TripStart="",Templates!$B$9=""),"",TripStart-Templates!$B$9)</f>
        <v/>
      </c>
      <c r="E24" s="81" t="str">
        <f aca="true">IF(OR(D24="",F24="Yes"),"",D24-TODAY())</f>
        <v/>
      </c>
      <c r="F24" s="23"/>
      <c r="G24" s="82" t="str">
        <f aca="false">Templates!$C$9&amp;""</f>
        <v>Save the helpline on the Setup tab</v>
      </c>
      <c r="I24" s="45" t="str">
        <f aca="false">Calc!$AO$6&amp;""</f>
        <v>Phone + charger + power bank</v>
      </c>
      <c r="J24" s="23"/>
      <c r="K24" s="23"/>
    </row>
    <row r="25" customFormat="false" ht="15" hidden="false" customHeight="false" outlineLevel="0" collapsed="false">
      <c r="B25" s="45" t="str">
        <f aca="false">IF(Templates!$A$10="","",Templates!$A$10&amp;IF(ISNUMBER(SEARCH("visa",Templates!$A$10)),IF(Setup!$K$6="",""," — "&amp;Setup!$K$6),""))</f>
        <v>Book big activities &amp; tours</v>
      </c>
      <c r="C25" s="23"/>
      <c r="D25" s="80" t="str">
        <f aca="false">IF(OR(B25="",TripStart="",Templates!$B$10=""),"",TripStart-Templates!$B$10)</f>
        <v/>
      </c>
      <c r="E25" s="81" t="str">
        <f aca="true">IF(OR(D25="",F25="Yes"),"",D25-TODAY())</f>
        <v/>
      </c>
      <c r="F25" s="23"/>
      <c r="G25" s="82" t="str">
        <f aca="false">Templates!$C$10&amp;""</f>
        <v>GetYourGuide code WALKINGTALKINGCA5 = 5% off</v>
      </c>
      <c r="I25" s="45" t="str">
        <f aca="false">Calc!$AO$7&amp;""</f>
        <v>Universal travel adapter</v>
      </c>
      <c r="J25" s="23"/>
      <c r="K25" s="23"/>
    </row>
    <row r="26" customFormat="false" ht="15" hidden="false" customHeight="false" outlineLevel="0" collapsed="false">
      <c r="B26" s="45" t="str">
        <f aca="false">IF(Templates!$A$11="","",Templates!$A$11&amp;IF(ISNUMBER(SEARCH("visa",Templates!$A$11)),IF(Setup!$K$6="",""," — "&amp;Setup!$K$6),""))</f>
        <v>Start a savings plan for the trip</v>
      </c>
      <c r="C26" s="23"/>
      <c r="D26" s="80" t="str">
        <f aca="false">IF(OR(B26="",TripStart="",Templates!$B$11=""),"",TripStart-Templates!$B$11)</f>
        <v/>
      </c>
      <c r="E26" s="81" t="str">
        <f aca="true">IF(OR(D26="",F26="Yes"),"",D26-TODAY())</f>
        <v/>
      </c>
      <c r="F26" s="23"/>
      <c r="G26" s="82" t="str">
        <f aca="false">Templates!$C$11&amp;""</f>
        <v>See the Savings tab</v>
      </c>
      <c r="I26" s="45" t="str">
        <f aca="false">Calc!$AO$8&amp;""</f>
        <v>Medicines + prescriptions</v>
      </c>
      <c r="J26" s="23"/>
      <c r="K26" s="23"/>
    </row>
    <row r="27" customFormat="false" ht="15" hidden="false" customHeight="false" outlineLevel="0" collapsed="false">
      <c r="B27" s="45" t="str">
        <f aca="false">IF(Templates!$A$12="","",Templates!$A$12&amp;IF(ISNUMBER(SEARCH("visa",Templates!$A$12)),IF(Setup!$K$6="",""," — "&amp;Setup!$K$6),""))</f>
        <v>Book airport transfers</v>
      </c>
      <c r="C27" s="23"/>
      <c r="D27" s="80" t="str">
        <f aca="false">IF(OR(B27="",TripStart="",Templates!$B$12=""),"",TripStart-Templates!$B$12)</f>
        <v/>
      </c>
      <c r="E27" s="81" t="str">
        <f aca="true">IF(OR(D27="",F27="Yes"),"",D27-TODAY())</f>
        <v/>
      </c>
      <c r="F27" s="23"/>
      <c r="G27" s="82" t="str">
        <f aca="false">Templates!$C$12&amp;""</f>
        <v>Save the driver on the Contacts tab</v>
      </c>
      <c r="I27" s="45" t="str">
        <f aca="false">Calc!$AO$9&amp;""</f>
        <v>Toiletries</v>
      </c>
      <c r="J27" s="23"/>
      <c r="K27" s="23"/>
    </row>
    <row r="28" customFormat="false" ht="15" hidden="false" customHeight="false" outlineLevel="0" collapsed="false">
      <c r="B28" s="45" t="str">
        <f aca="false">IF(Templates!$A$13="","",Templates!$A$13&amp;IF(ISNUMBER(SEARCH("visa",Templates!$A$13)),IF(Setup!$K$6="",""," — "&amp;Setup!$K$6),""))</f>
        <v>Buy an eSIM</v>
      </c>
      <c r="C28" s="23"/>
      <c r="D28" s="80" t="str">
        <f aca="false">IF(OR(B28="",TripStart="",Templates!$B$13=""),"",TripStart-Templates!$B$13)</f>
        <v/>
      </c>
      <c r="E28" s="81" t="str">
        <f aca="true">IF(OR(D28="",F28="Yes"),"",D28-TODAY())</f>
        <v/>
      </c>
      <c r="F28" s="23"/>
      <c r="G28" s="82" t="str">
        <f aca="false">Templates!$C$13&amp;""</f>
        <v>Airalo code WTCA = 10% off</v>
      </c>
      <c r="I28" s="45" t="str">
        <f aca="false">Calc!$AO$10&amp;""</f>
        <v>Comfortable walking shoes</v>
      </c>
      <c r="J28" s="23"/>
      <c r="K28" s="23"/>
    </row>
    <row r="29" customFormat="false" ht="15" hidden="false" customHeight="false" outlineLevel="0" collapsed="false">
      <c r="B29" s="45" t="str">
        <f aca="false">IF(Templates!$A$14="","",Templates!$A$14&amp;IF(ISNUMBER(SEARCH("visa",Templates!$A$14)),IF(Setup!$K$6="",""," — "&amp;Setup!$K$6),""))</f>
        <v>Load forex card / arrange some cash</v>
      </c>
      <c r="C29" s="23"/>
      <c r="D29" s="80" t="str">
        <f aca="false">IF(OR(B29="",TripStart="",Templates!$B$14=""),"",TripStart-Templates!$B$14)</f>
        <v/>
      </c>
      <c r="E29" s="81" t="str">
        <f aca="true">IF(OR(D29="",F29="Yes"),"",D29-TODAY())</f>
        <v/>
      </c>
      <c r="F29" s="23"/>
      <c r="G29" s="82" t="str">
        <f aca="false">Templates!$C$14&amp;""</f>
        <v>Carry a little local cash for day 1</v>
      </c>
      <c r="I29" s="45" t="str">
        <f aca="false">Calc!$AO$11&amp;""</f>
        <v>Daypack</v>
      </c>
      <c r="J29" s="23"/>
      <c r="K29" s="23"/>
    </row>
    <row r="30" customFormat="false" ht="15" hidden="false" customHeight="false" outlineLevel="0" collapsed="false">
      <c r="B30" s="45" t="str">
        <f aca="false">IF(Templates!$A$15="","",Templates!$A$15&amp;IF(ISNUMBER(SEARCH("visa",Templates!$A$15)),IF(Setup!$K$6="",""," — "&amp;Setup!$K$6),""))</f>
        <v>Tell your bank you're travelling</v>
      </c>
      <c r="C30" s="23"/>
      <c r="D30" s="80" t="str">
        <f aca="false">IF(OR(B30="",TripStart="",Templates!$B$15=""),"",TripStart-Templates!$B$15)</f>
        <v/>
      </c>
      <c r="E30" s="81" t="str">
        <f aca="true">IF(OR(D30="",F30="Yes"),"",D30-TODAY())</f>
        <v/>
      </c>
      <c r="F30" s="23"/>
      <c r="G30" s="82" t="str">
        <f aca="false">Templates!$C$15&amp;""</f>
        <v>Avoids blocked cards abroad</v>
      </c>
      <c r="I30" s="45" t="str">
        <f aca="false">Calc!$AO$12&amp;""</f>
        <v>Reusable water bottle</v>
      </c>
      <c r="J30" s="23"/>
      <c r="K30" s="23"/>
    </row>
    <row r="31" customFormat="false" ht="15" hidden="false" customHeight="false" outlineLevel="0" collapsed="false">
      <c r="B31" s="45" t="str">
        <f aca="false">IF(Templates!$A$16="","",Templates!$A$16&amp;IF(ISNUMBER(SEARCH("visa",Templates!$A$16)),IF(Setup!$K$6="",""," — "&amp;Setup!$K$6),""))</f>
        <v>Save copies of passports &amp; bookings</v>
      </c>
      <c r="C31" s="23"/>
      <c r="D31" s="80" t="str">
        <f aca="false">IF(OR(B31="",TripStart="",Templates!$B$16=""),"",TripStart-Templates!$B$16)</f>
        <v/>
      </c>
      <c r="E31" s="81" t="str">
        <f aca="true">IF(OR(D31="",F31="Yes"),"",D31-TODAY())</f>
        <v/>
      </c>
      <c r="F31" s="23"/>
      <c r="G31" s="82" t="str">
        <f aca="false">Templates!$C$16&amp;""</f>
        <v>Phone + cloud + one printed set</v>
      </c>
      <c r="I31" s="45" t="str">
        <f aca="false">Calc!$AO$13&amp;""</f>
        <v>Earphones / eye mask for flights</v>
      </c>
      <c r="J31" s="23"/>
      <c r="K31" s="23"/>
    </row>
    <row r="32" customFormat="false" ht="15" hidden="false" customHeight="false" outlineLevel="0" collapsed="false">
      <c r="B32" s="45" t="str">
        <f aca="false">IF(Templates!$A$17="","",Templates!$A$17&amp;IF(ISNUMBER(SEARCH("visa",Templates!$A$17)),IF(Setup!$K$6="",""," — "&amp;Setup!$K$6),""))</f>
        <v>Download offline maps &amp; translator</v>
      </c>
      <c r="C32" s="23"/>
      <c r="D32" s="80" t="str">
        <f aca="false">IF(OR(B32="",TripStart="",Templates!$B$17=""),"",TripStart-Templates!$B$17)</f>
        <v/>
      </c>
      <c r="E32" s="81" t="str">
        <f aca="true">IF(OR(D32="",F32="Yes"),"",D32-TODAY())</f>
        <v/>
      </c>
      <c r="F32" s="23"/>
      <c r="G32" s="82" t="str">
        <f aca="false">Templates!$C$17&amp;""</f>
        <v>Google Maps offline areas</v>
      </c>
      <c r="I32" s="45" t="str">
        <f aca="false">Calc!$AO$14&amp;""</f>
        <v>Pen (for arrival forms)</v>
      </c>
      <c r="J32" s="23"/>
      <c r="K32" s="23"/>
    </row>
    <row r="33" customFormat="false" ht="15" hidden="false" customHeight="false" outlineLevel="0" collapsed="false">
      <c r="B33" s="45" t="str">
        <f aca="false">IF(Templates!$A$18="","",Templates!$A$18&amp;IF(ISNUMBER(SEARCH("visa",Templates!$A$18)),IF(Setup!$K$6="",""," — "&amp;Setup!$K$6),""))</f>
        <v>Check baggage allowance &amp; weigh bags</v>
      </c>
      <c r="C33" s="23"/>
      <c r="D33" s="80" t="str">
        <f aca="false">IF(OR(B33="",TripStart="",Templates!$B$18=""),"",TripStart-Templates!$B$18)</f>
        <v/>
      </c>
      <c r="E33" s="81" t="str">
        <f aca="true">IF(OR(D33="",F33="Yes"),"",D33-TODAY())</f>
        <v/>
      </c>
      <c r="F33" s="23"/>
      <c r="G33" s="82" t="str">
        <f aca="false">Templates!$C$18&amp;""</f>
        <v/>
      </c>
      <c r="I33" s="45" t="str">
        <f aca="false">Calc!$AO$15&amp;""</f>
        <v>Light jacket / layer</v>
      </c>
      <c r="J33" s="23"/>
      <c r="K33" s="23"/>
    </row>
    <row r="34" customFormat="false" ht="15" hidden="false" customHeight="false" outlineLevel="0" collapsed="false">
      <c r="B34" s="45" t="str">
        <f aca="false">IF(Templates!$A$19="","",Templates!$A$19&amp;IF(ISNUMBER(SEARCH("visa",Templates!$A$19)),IF(Setup!$K$6="",""," — "&amp;Setup!$K$6),""))</f>
        <v>Online check-in</v>
      </c>
      <c r="C34" s="23"/>
      <c r="D34" s="80" t="str">
        <f aca="false">IF(OR(B34="",TripStart="",Templates!$B$19=""),"",TripStart-Templates!$B$19)</f>
        <v/>
      </c>
      <c r="E34" s="81" t="str">
        <f aca="true">IF(OR(D34="",F34="Yes"),"",D34-TODAY())</f>
        <v/>
      </c>
      <c r="F34" s="23"/>
      <c r="G34" s="82" t="str">
        <f aca="false">Templates!$C$19&amp;""</f>
        <v>Opens 24–48 h before most flights</v>
      </c>
      <c r="I34" s="45" t="str">
        <f aca="false">Calc!$AO$16&amp;""</f>
        <v>Smart outfit for dinners</v>
      </c>
      <c r="J34" s="23"/>
      <c r="K34" s="23"/>
    </row>
    <row r="35" customFormat="false" ht="15" hidden="false" customHeight="false" outlineLevel="0" collapsed="false">
      <c r="B35" s="45" t="str">
        <f aca="false">IF(Templates!$A$20="","",Templates!$A$20&amp;IF(ISNUMBER(SEARCH("visa",Templates!$A$20)),IF(Setup!$K$6="",""," — "&amp;Setup!$K$6),""))</f>
        <v>Print the one-page summary for family</v>
      </c>
      <c r="C35" s="23"/>
      <c r="D35" s="80" t="str">
        <f aca="false">IF(OR(B35="",TripStart="",Templates!$B$20=""),"",TripStart-Templates!$B$20)</f>
        <v/>
      </c>
      <c r="E35" s="81" t="str">
        <f aca="true">IF(OR(D35="",F35="Yes"),"",D35-TODAY())</f>
        <v/>
      </c>
      <c r="F35" s="23"/>
      <c r="G35" s="82" t="str">
        <f aca="false">Templates!$C$20&amp;""</f>
        <v>Print Summary tab → File → Print</v>
      </c>
      <c r="I35" s="45" t="str">
        <f aca="false">Calc!$AO$17&amp;""</f>
        <v>Offline maps downloaded</v>
      </c>
      <c r="J35" s="23"/>
      <c r="K35" s="23"/>
    </row>
    <row r="36" customFormat="false" ht="15" hidden="false" customHeight="false" outlineLevel="0" collapsed="false">
      <c r="B36" s="45" t="str">
        <f aca="false">IF(Templates!$A$21="","",Templates!$A$21&amp;IF(ISNUMBER(SEARCH("visa",Templates!$A$21)),IF(Setup!$K$6="",""," — "&amp;Setup!$K$6),""))</f>
        <v/>
      </c>
      <c r="C36" s="23"/>
      <c r="D36" s="80" t="str">
        <f aca="false">IF(OR(B36="",TripStart="",Templates!$B$21=""),"",TripStart-Templates!$B$21)</f>
        <v/>
      </c>
      <c r="E36" s="81" t="str">
        <f aca="true">IF(OR(D36="",F36="Yes"),"",D36-TODAY())</f>
        <v/>
      </c>
      <c r="F36" s="23"/>
      <c r="G36" s="82" t="str">
        <f aca="false">Templates!$C$21&amp;""</f>
        <v/>
      </c>
      <c r="I36" s="45" t="str">
        <f aca="false">Calc!$AO$18&amp;""</f>
        <v>Laundry bag</v>
      </c>
      <c r="J36" s="23"/>
      <c r="K36" s="23"/>
    </row>
    <row r="37" customFormat="false" ht="15" hidden="false" customHeight="false" outlineLevel="0" collapsed="false">
      <c r="B37" s="45" t="str">
        <f aca="false">IF(Templates!$A$22="","",Templates!$A$22&amp;IF(ISNUMBER(SEARCH("visa",Templates!$A$22)),IF(Setup!$K$6="",""," — "&amp;Setup!$K$6),""))</f>
        <v/>
      </c>
      <c r="C37" s="23"/>
      <c r="D37" s="80" t="str">
        <f aca="false">IF(OR(B37="",TripStart="",Templates!$B$22=""),"",TripStart-Templates!$B$22)</f>
        <v/>
      </c>
      <c r="E37" s="81" t="str">
        <f aca="true">IF(OR(D37="",F37="Yes"),"",D37-TODAY())</f>
        <v/>
      </c>
      <c r="F37" s="23"/>
      <c r="G37" s="82" t="str">
        <f aca="false">Templates!$C$22&amp;""</f>
        <v/>
      </c>
      <c r="I37" s="45" t="str">
        <f aca="false">Calc!$AO$19&amp;""</f>
        <v>Small padlock</v>
      </c>
      <c r="J37" s="23"/>
      <c r="K37" s="23"/>
    </row>
    <row r="38" customFormat="false" ht="15" hidden="false" customHeight="false" outlineLevel="0" collapsed="false">
      <c r="B38" s="45" t="str">
        <f aca="false">IF(Templates!$A$23="","",Templates!$A$23&amp;IF(ISNUMBER(SEARCH("visa",Templates!$A$23)),IF(Setup!$K$6="",""," — "&amp;Setup!$K$6),""))</f>
        <v/>
      </c>
      <c r="C38" s="23"/>
      <c r="D38" s="80" t="str">
        <f aca="false">IF(OR(B38="",TripStart="",Templates!$B$23=""),"",TripStart-Templates!$B$23)</f>
        <v/>
      </c>
      <c r="E38" s="81" t="str">
        <f aca="true">IF(OR(D38="",F38="Yes"),"",D38-TODAY())</f>
        <v/>
      </c>
      <c r="F38" s="23"/>
      <c r="G38" s="82" t="str">
        <f aca="false">Templates!$C$23&amp;""</f>
        <v/>
      </c>
      <c r="I38" s="45" t="str">
        <f aca="false">Calc!$AO$20&amp;""</f>
        <v/>
      </c>
      <c r="J38" s="23"/>
      <c r="K38" s="23"/>
    </row>
    <row r="39" customFormat="false" ht="15" hidden="false" customHeight="false" outlineLevel="0" collapsed="false">
      <c r="B39" s="45" t="str">
        <f aca="false">IF(Templates!$A$24="","",Templates!$A$24&amp;IF(ISNUMBER(SEARCH("visa",Templates!$A$24)),IF(Setup!$K$6="",""," — "&amp;Setup!$K$6),""))</f>
        <v/>
      </c>
      <c r="C39" s="23"/>
      <c r="D39" s="80" t="str">
        <f aca="false">IF(OR(B39="",TripStart="",Templates!$B$24=""),"",TripStart-Templates!$B$24)</f>
        <v/>
      </c>
      <c r="E39" s="81" t="str">
        <f aca="true">IF(OR(D39="",F39="Yes"),"",D39-TODAY())</f>
        <v/>
      </c>
      <c r="F39" s="23"/>
      <c r="G39" s="82" t="str">
        <f aca="false">Templates!$C$24&amp;""</f>
        <v/>
      </c>
      <c r="I39" s="45" t="str">
        <f aca="false">Calc!$AO$21&amp;""</f>
        <v/>
      </c>
      <c r="J39" s="23"/>
      <c r="K39" s="23"/>
    </row>
    <row r="40" customFormat="false" ht="15" hidden="false" customHeight="false" outlineLevel="0" collapsed="false">
      <c r="B40" s="45" t="str">
        <f aca="false">IF(Templates!$A$25="","",Templates!$A$25&amp;IF(ISNUMBER(SEARCH("visa",Templates!$A$25)),IF(Setup!$K$6="",""," — "&amp;Setup!$K$6),""))</f>
        <v/>
      </c>
      <c r="C40" s="23"/>
      <c r="D40" s="80" t="str">
        <f aca="false">IF(OR(B40="",TripStart="",Templates!$B$25=""),"",TripStart-Templates!$B$25)</f>
        <v/>
      </c>
      <c r="E40" s="81" t="str">
        <f aca="true">IF(OR(D40="",F40="Yes"),"",D40-TODAY())</f>
        <v/>
      </c>
      <c r="F40" s="23"/>
      <c r="G40" s="82" t="str">
        <f aca="false">Templates!$C$25&amp;""</f>
        <v/>
      </c>
      <c r="I40" s="45" t="str">
        <f aca="false">Calc!$AO$22&amp;""</f>
        <v/>
      </c>
      <c r="J40" s="23"/>
      <c r="K40" s="23"/>
    </row>
    <row r="41" customFormat="false" ht="15" hidden="false" customHeight="false" outlineLevel="0" collapsed="false">
      <c r="B41" s="45" t="str">
        <f aca="false">IF(Templates!$A$26="","",Templates!$A$26&amp;IF(ISNUMBER(SEARCH("visa",Templates!$A$26)),IF(Setup!$K$6="",""," — "&amp;Setup!$K$6),""))</f>
        <v/>
      </c>
      <c r="C41" s="23"/>
      <c r="D41" s="80" t="str">
        <f aca="false">IF(OR(B41="",TripStart="",Templates!$B$26=""),"",TripStart-Templates!$B$26)</f>
        <v/>
      </c>
      <c r="E41" s="81" t="str">
        <f aca="true">IF(OR(D41="",F41="Yes"),"",D41-TODAY())</f>
        <v/>
      </c>
      <c r="F41" s="23"/>
      <c r="G41" s="82" t="str">
        <f aca="false">Templates!$C$26&amp;""</f>
        <v/>
      </c>
      <c r="I41" s="45" t="str">
        <f aca="false">Calc!$AO$23&amp;""</f>
        <v/>
      </c>
      <c r="J41" s="23"/>
      <c r="K41" s="23"/>
    </row>
    <row r="42" customFormat="false" ht="15" hidden="false" customHeight="false" outlineLevel="0" collapsed="false">
      <c r="B42" s="45" t="str">
        <f aca="false">IF(Templates!$A$27="","",Templates!$A$27&amp;IF(ISNUMBER(SEARCH("visa",Templates!$A$27)),IF(Setup!$K$6="",""," — "&amp;Setup!$K$6),""))</f>
        <v/>
      </c>
      <c r="C42" s="23"/>
      <c r="D42" s="80" t="str">
        <f aca="false">IF(OR(B42="",TripStart="",Templates!$B$27=""),"",TripStart-Templates!$B$27)</f>
        <v/>
      </c>
      <c r="E42" s="81" t="str">
        <f aca="true">IF(OR(D42="",F42="Yes"),"",D42-TODAY())</f>
        <v/>
      </c>
      <c r="F42" s="23"/>
      <c r="G42" s="82" t="str">
        <f aca="false">Templates!$C$27&amp;""</f>
        <v/>
      </c>
      <c r="I42" s="45" t="str">
        <f aca="false">Calc!$AO$24&amp;""</f>
        <v/>
      </c>
      <c r="J42" s="23"/>
      <c r="K42" s="23"/>
    </row>
    <row r="43" customFormat="false" ht="15" hidden="false" customHeight="false" outlineLevel="0" collapsed="false">
      <c r="B43" s="45" t="str">
        <f aca="false">IF(Templates!$A$28="","",Templates!$A$28&amp;IF(ISNUMBER(SEARCH("visa",Templates!$A$28)),IF(Setup!$K$6="",""," — "&amp;Setup!$K$6),""))</f>
        <v/>
      </c>
      <c r="C43" s="23"/>
      <c r="D43" s="80" t="str">
        <f aca="false">IF(OR(B43="",TripStart="",Templates!$B$28=""),"",TripStart-Templates!$B$28)</f>
        <v/>
      </c>
      <c r="E43" s="81" t="str">
        <f aca="true">IF(OR(D43="",F43="Yes"),"",D43-TODAY())</f>
        <v/>
      </c>
      <c r="F43" s="23"/>
      <c r="G43" s="82" t="str">
        <f aca="false">Templates!$C$28&amp;""</f>
        <v/>
      </c>
      <c r="I43" s="45" t="str">
        <f aca="false">Calc!$AO$25&amp;""</f>
        <v/>
      </c>
      <c r="J43" s="23"/>
      <c r="K43" s="23"/>
    </row>
    <row r="44" customFormat="false" ht="15" hidden="false" customHeight="false" outlineLevel="0" collapsed="false">
      <c r="B44" s="45" t="str">
        <f aca="false">IF(Templates!$A$29="","",Templates!$A$29&amp;IF(ISNUMBER(SEARCH("visa",Templates!$A$29)),IF(Setup!$K$6="",""," — "&amp;Setup!$K$6),""))</f>
        <v/>
      </c>
      <c r="C44" s="23"/>
      <c r="D44" s="80" t="str">
        <f aca="false">IF(OR(B44="",TripStart="",Templates!$B$29=""),"",TripStart-Templates!$B$29)</f>
        <v/>
      </c>
      <c r="E44" s="81" t="str">
        <f aca="true">IF(OR(D44="",F44="Yes"),"",D44-TODAY())</f>
        <v/>
      </c>
      <c r="F44" s="23"/>
      <c r="G44" s="82" t="str">
        <f aca="false">Templates!$C$29&amp;""</f>
        <v/>
      </c>
      <c r="I44" s="45" t="str">
        <f aca="false">Calc!$AO$26&amp;""</f>
        <v/>
      </c>
      <c r="J44" s="23"/>
      <c r="K44" s="23"/>
    </row>
    <row r="45" customFormat="false" ht="15" hidden="false" customHeight="false" outlineLevel="0" collapsed="false">
      <c r="B45" s="45" t="str">
        <f aca="false">IF(Templates!$A$30="","",Templates!$A$30&amp;IF(ISNUMBER(SEARCH("visa",Templates!$A$30)),IF(Setup!$K$6="",""," — "&amp;Setup!$K$6),""))</f>
        <v/>
      </c>
      <c r="C45" s="23"/>
      <c r="D45" s="80" t="str">
        <f aca="false">IF(OR(B45="",TripStart="",Templates!$B$30=""),"",TripStart-Templates!$B$30)</f>
        <v/>
      </c>
      <c r="E45" s="81" t="str">
        <f aca="true">IF(OR(D45="",F45="Yes"),"",D45-TODAY())</f>
        <v/>
      </c>
      <c r="F45" s="23"/>
      <c r="G45" s="82" t="str">
        <f aca="false">Templates!$C$30&amp;""</f>
        <v/>
      </c>
      <c r="I45" s="45" t="str">
        <f aca="false">Calc!$AO$27&amp;""</f>
        <v/>
      </c>
      <c r="J45" s="23"/>
      <c r="K45" s="23"/>
    </row>
    <row r="46" customFormat="false" ht="15" hidden="false" customHeight="false" outlineLevel="0" collapsed="false">
      <c r="B46" s="45" t="str">
        <f aca="false">IF(Templates!$A$31="","",Templates!$A$31&amp;IF(ISNUMBER(SEARCH("visa",Templates!$A$31)),IF(Setup!$K$6="",""," — "&amp;Setup!$K$6),""))</f>
        <v/>
      </c>
      <c r="C46" s="23"/>
      <c r="D46" s="80" t="str">
        <f aca="false">IF(OR(B46="",TripStart="",Templates!$B$31=""),"",TripStart-Templates!$B$31)</f>
        <v/>
      </c>
      <c r="E46" s="81" t="str">
        <f aca="true">IF(OR(D46="",F46="Yes"),"",D46-TODAY())</f>
        <v/>
      </c>
      <c r="F46" s="23"/>
      <c r="G46" s="82" t="str">
        <f aca="false">Templates!$C$31&amp;""</f>
        <v/>
      </c>
      <c r="I46" s="45" t="str">
        <f aca="false">Calc!$AO$28&amp;""</f>
        <v/>
      </c>
      <c r="J46" s="23"/>
      <c r="K46" s="23"/>
    </row>
    <row r="47" customFormat="false" ht="15" hidden="false" customHeight="false" outlineLevel="0" collapsed="false">
      <c r="B47" s="45" t="str">
        <f aca="false">IF(Templates!$A$32="","",Templates!$A$32&amp;IF(ISNUMBER(SEARCH("visa",Templates!$A$32)),IF(Setup!$K$6="",""," — "&amp;Setup!$K$6),""))</f>
        <v/>
      </c>
      <c r="C47" s="23"/>
      <c r="D47" s="80" t="str">
        <f aca="false">IF(OR(B47="",TripStart="",Templates!$B$32=""),"",TripStart-Templates!$B$32)</f>
        <v/>
      </c>
      <c r="E47" s="81" t="str">
        <f aca="true">IF(OR(D47="",F47="Yes"),"",D47-TODAY())</f>
        <v/>
      </c>
      <c r="F47" s="23"/>
      <c r="G47" s="82" t="str">
        <f aca="false">Templates!$C$32&amp;""</f>
        <v/>
      </c>
      <c r="I47" s="45" t="str">
        <f aca="false">Calc!$AO$29&amp;""</f>
        <v/>
      </c>
      <c r="J47" s="23"/>
      <c r="K47" s="23"/>
    </row>
    <row r="48" customFormat="false" ht="15" hidden="false" customHeight="false" outlineLevel="0" collapsed="false">
      <c r="B48" s="45" t="str">
        <f aca="false">IF(Templates!$A$33="","",Templates!$A$33&amp;IF(ISNUMBER(SEARCH("visa",Templates!$A$33)),IF(Setup!$K$6="",""," — "&amp;Setup!$K$6),""))</f>
        <v/>
      </c>
      <c r="C48" s="23"/>
      <c r="D48" s="80" t="str">
        <f aca="false">IF(OR(B48="",TripStart="",Templates!$B$33=""),"",TripStart-Templates!$B$33)</f>
        <v/>
      </c>
      <c r="E48" s="81" t="str">
        <f aca="true">IF(OR(D48="",F48="Yes"),"",D48-TODAY())</f>
        <v/>
      </c>
      <c r="F48" s="23"/>
      <c r="G48" s="82" t="str">
        <f aca="false">Templates!$C$33&amp;""</f>
        <v/>
      </c>
      <c r="I48" s="45" t="str">
        <f aca="false">Calc!$AO$30&amp;""</f>
        <v/>
      </c>
      <c r="J48" s="23"/>
      <c r="K48" s="23"/>
    </row>
    <row r="49" customFormat="false" ht="15" hidden="false" customHeight="false" outlineLevel="0" collapsed="false">
      <c r="B49" s="45" t="str">
        <f aca="false">IF(Templates!$A$34="","",Templates!$A$34&amp;IF(ISNUMBER(SEARCH("visa",Templates!$A$34)),IF(Setup!$K$6="",""," — "&amp;Setup!$K$6),""))</f>
        <v/>
      </c>
      <c r="C49" s="23"/>
      <c r="D49" s="80" t="str">
        <f aca="false">IF(OR(B49="",TripStart="",Templates!$B$34=""),"",TripStart-Templates!$B$34)</f>
        <v/>
      </c>
      <c r="E49" s="81" t="str">
        <f aca="true">IF(OR(D49="",F49="Yes"),"",D49-TODAY())</f>
        <v/>
      </c>
      <c r="F49" s="23"/>
      <c r="G49" s="82" t="str">
        <f aca="false">Templates!$C$34&amp;""</f>
        <v/>
      </c>
      <c r="I49" s="45" t="str">
        <f aca="false">Calc!$AO$31&amp;""</f>
        <v/>
      </c>
      <c r="J49" s="23"/>
      <c r="K49" s="23"/>
    </row>
    <row r="50" customFormat="false" ht="15" hidden="false" customHeight="false" outlineLevel="0" collapsed="false">
      <c r="B50" s="23"/>
      <c r="C50" s="23"/>
      <c r="D50" s="28"/>
      <c r="E50" s="81" t="str">
        <f aca="true">IF(OR(D50="",F50="Yes"),"",D50-TODAY())</f>
        <v/>
      </c>
      <c r="F50" s="23"/>
      <c r="G50" s="23"/>
      <c r="I50" s="45" t="str">
        <f aca="false">Calc!$AO$32&amp;""</f>
        <v/>
      </c>
      <c r="J50" s="23"/>
      <c r="K50" s="23"/>
    </row>
    <row r="51" customFormat="false" ht="15" hidden="false" customHeight="false" outlineLevel="0" collapsed="false">
      <c r="B51" s="23"/>
      <c r="C51" s="23"/>
      <c r="D51" s="28"/>
      <c r="E51" s="81" t="str">
        <f aca="true">IF(OR(D51="",F51="Yes"),"",D51-TODAY())</f>
        <v/>
      </c>
      <c r="F51" s="23"/>
      <c r="G51" s="23"/>
      <c r="I51" s="45" t="str">
        <f aca="false">Calc!$AO$33&amp;""</f>
        <v/>
      </c>
      <c r="J51" s="23"/>
      <c r="K51" s="23"/>
    </row>
    <row r="52" customFormat="false" ht="15" hidden="false" customHeight="false" outlineLevel="0" collapsed="false">
      <c r="B52" s="23"/>
      <c r="C52" s="23"/>
      <c r="D52" s="28"/>
      <c r="E52" s="81" t="str">
        <f aca="true">IF(OR(D52="",F52="Yes"),"",D52-TODAY())</f>
        <v/>
      </c>
      <c r="F52" s="23"/>
      <c r="G52" s="23"/>
      <c r="I52" s="45" t="str">
        <f aca="false">Calc!$AO$34&amp;""</f>
        <v/>
      </c>
      <c r="J52" s="23"/>
      <c r="K52" s="23"/>
    </row>
    <row r="53" customFormat="false" ht="15" hidden="false" customHeight="false" outlineLevel="0" collapsed="false">
      <c r="B53" s="23"/>
      <c r="C53" s="23"/>
      <c r="D53" s="28"/>
      <c r="E53" s="81" t="str">
        <f aca="true">IF(OR(D53="",F53="Yes"),"",D53-TODAY())</f>
        <v/>
      </c>
      <c r="F53" s="23"/>
      <c r="G53" s="23"/>
      <c r="I53" s="45" t="str">
        <f aca="false">Calc!$AO$35&amp;""</f>
        <v/>
      </c>
      <c r="J53" s="23"/>
      <c r="K53" s="23"/>
    </row>
    <row r="54" customFormat="false" ht="15" hidden="false" customHeight="false" outlineLevel="0" collapsed="false">
      <c r="B54" s="23"/>
      <c r="C54" s="23"/>
      <c r="D54" s="28"/>
      <c r="E54" s="81" t="str">
        <f aca="true">IF(OR(D54="",F54="Yes"),"",D54-TODAY())</f>
        <v/>
      </c>
      <c r="F54" s="23"/>
      <c r="G54" s="23"/>
      <c r="I54" s="45" t="str">
        <f aca="false">Calc!$AO$36&amp;""</f>
        <v/>
      </c>
      <c r="J54" s="23"/>
      <c r="K54" s="23"/>
    </row>
    <row r="55" customFormat="false" ht="15" hidden="false" customHeight="false" outlineLevel="0" collapsed="false">
      <c r="B55" s="23"/>
      <c r="C55" s="23"/>
      <c r="D55" s="28"/>
      <c r="E55" s="81" t="str">
        <f aca="true">IF(OR(D55="",F55="Yes"),"",D55-TODAY())</f>
        <v/>
      </c>
      <c r="F55" s="23"/>
      <c r="G55" s="23"/>
      <c r="I55" s="45" t="str">
        <f aca="false">Calc!$AO$37&amp;""</f>
        <v/>
      </c>
      <c r="J55" s="23"/>
      <c r="K55" s="23"/>
    </row>
    <row r="56" customFormat="false" ht="15" hidden="false" customHeight="false" outlineLevel="0" collapsed="false">
      <c r="B56" s="23"/>
      <c r="C56" s="23"/>
      <c r="D56" s="28"/>
      <c r="E56" s="81" t="str">
        <f aca="true">IF(OR(D56="",F56="Yes"),"",D56-TODAY())</f>
        <v/>
      </c>
      <c r="F56" s="23"/>
      <c r="G56" s="23"/>
      <c r="I56" s="45" t="str">
        <f aca="false">Calc!$AO$38&amp;""</f>
        <v/>
      </c>
      <c r="J56" s="23"/>
      <c r="K56" s="23"/>
    </row>
    <row r="57" customFormat="false" ht="15" hidden="false" customHeight="false" outlineLevel="0" collapsed="false">
      <c r="B57" s="23"/>
      <c r="C57" s="23"/>
      <c r="D57" s="28"/>
      <c r="E57" s="81" t="str">
        <f aca="true">IF(OR(D57="",F57="Yes"),"",D57-TODAY())</f>
        <v/>
      </c>
      <c r="F57" s="23"/>
      <c r="G57" s="23"/>
      <c r="I57" s="45" t="str">
        <f aca="false">Calc!$AO$39&amp;""</f>
        <v/>
      </c>
      <c r="J57" s="23"/>
      <c r="K57" s="23"/>
    </row>
    <row r="58" customFormat="false" ht="15" hidden="false" customHeight="false" outlineLevel="0" collapsed="false">
      <c r="B58" s="23"/>
      <c r="C58" s="23"/>
      <c r="D58" s="28"/>
      <c r="E58" s="81" t="str">
        <f aca="true">IF(OR(D58="",F58="Yes"),"",D58-TODAY())</f>
        <v/>
      </c>
      <c r="F58" s="23"/>
      <c r="G58" s="23"/>
      <c r="I58" s="45" t="str">
        <f aca="false">Calc!$AO$40&amp;""</f>
        <v/>
      </c>
      <c r="J58" s="23"/>
      <c r="K58" s="23"/>
    </row>
    <row r="59" customFormat="false" ht="15" hidden="false" customHeight="false" outlineLevel="0" collapsed="false">
      <c r="B59" s="23"/>
      <c r="C59" s="23"/>
      <c r="D59" s="28"/>
      <c r="E59" s="81" t="str">
        <f aca="true">IF(OR(D59="",F59="Yes"),"",D59-TODAY())</f>
        <v/>
      </c>
      <c r="F59" s="23"/>
      <c r="G59" s="23"/>
      <c r="I59" s="45" t="str">
        <f aca="false">Calc!$AO$41&amp;""</f>
        <v/>
      </c>
      <c r="J59" s="23"/>
      <c r="K59" s="23"/>
    </row>
    <row r="60" customFormat="false" ht="15" hidden="false" customHeight="false" outlineLevel="0" collapsed="false">
      <c r="B60" s="41" t="s">
        <v>199</v>
      </c>
      <c r="I60" s="45" t="str">
        <f aca="false">Calc!$AO$42&amp;""</f>
        <v/>
      </c>
      <c r="J60" s="23"/>
      <c r="K60" s="23"/>
    </row>
    <row r="61" customFormat="false" ht="15" hidden="false" customHeight="false" outlineLevel="0" collapsed="false">
      <c r="I61" s="45" t="str">
        <f aca="false">Calc!$AO$43&amp;""</f>
        <v/>
      </c>
      <c r="J61" s="23"/>
      <c r="K61" s="23"/>
    </row>
    <row r="62" customFormat="false" ht="15" hidden="false" customHeight="false" outlineLevel="0" collapsed="false">
      <c r="I62" s="45" t="str">
        <f aca="false">Calc!$AO$44&amp;""</f>
        <v/>
      </c>
      <c r="J62" s="23"/>
      <c r="K62" s="23"/>
    </row>
    <row r="63" customFormat="false" ht="15" hidden="false" customHeight="false" outlineLevel="0" collapsed="false">
      <c r="I63" s="45" t="str">
        <f aca="false">Calc!$AO$45&amp;""</f>
        <v/>
      </c>
      <c r="J63" s="23"/>
      <c r="K63" s="23"/>
    </row>
    <row r="64" customFormat="false" ht="15" hidden="false" customHeight="false" outlineLevel="0" collapsed="false">
      <c r="I64" s="45" t="str">
        <f aca="false">Calc!$AO$46&amp;""</f>
        <v/>
      </c>
      <c r="J64" s="23"/>
      <c r="K64" s="23"/>
    </row>
    <row r="65" customFormat="false" ht="15" hidden="false" customHeight="false" outlineLevel="0" collapsed="false">
      <c r="I65" s="45" t="str">
        <f aca="false">Calc!$AO$47&amp;""</f>
        <v/>
      </c>
      <c r="J65" s="23"/>
      <c r="K65" s="23"/>
    </row>
    <row r="66" customFormat="false" ht="15" hidden="false" customHeight="false" outlineLevel="0" collapsed="false">
      <c r="I66" s="45" t="str">
        <f aca="false">Calc!$AO$48&amp;""</f>
        <v/>
      </c>
      <c r="J66" s="23"/>
      <c r="K66" s="23"/>
    </row>
    <row r="67" customFormat="false" ht="15" hidden="false" customHeight="false" outlineLevel="0" collapsed="false">
      <c r="I67" s="45" t="str">
        <f aca="false">Calc!$AO$49&amp;""</f>
        <v/>
      </c>
      <c r="J67" s="23"/>
      <c r="K67" s="23"/>
    </row>
    <row r="68" customFormat="false" ht="15" hidden="false" customHeight="false" outlineLevel="0" collapsed="false">
      <c r="I68" s="45" t="str">
        <f aca="false">Calc!$AO$50&amp;""</f>
        <v/>
      </c>
      <c r="J68" s="23"/>
      <c r="K68" s="23"/>
    </row>
    <row r="69" customFormat="false" ht="15" hidden="false" customHeight="false" outlineLevel="0" collapsed="false">
      <c r="I69" s="45" t="str">
        <f aca="false">Calc!$AO$51&amp;""</f>
        <v/>
      </c>
      <c r="J69" s="23"/>
      <c r="K69" s="23"/>
    </row>
    <row r="70" customFormat="false" ht="15" hidden="false" customHeight="false" outlineLevel="0" collapsed="false">
      <c r="I70" s="45" t="str">
        <f aca="false">Calc!$AO$52&amp;""</f>
        <v/>
      </c>
      <c r="J70" s="23"/>
      <c r="K70" s="23"/>
    </row>
    <row r="71" customFormat="false" ht="15" hidden="false" customHeight="false" outlineLevel="0" collapsed="false">
      <c r="I71" s="45" t="str">
        <f aca="false">Calc!$AO$53&amp;""</f>
        <v/>
      </c>
      <c r="J71" s="23"/>
      <c r="K71" s="23"/>
    </row>
    <row r="72" customFormat="false" ht="15" hidden="false" customHeight="false" outlineLevel="0" collapsed="false">
      <c r="I72" s="45" t="str">
        <f aca="false">Calc!$AO$54&amp;""</f>
        <v/>
      </c>
      <c r="J72" s="23"/>
      <c r="K72" s="23"/>
    </row>
    <row r="73" customFormat="false" ht="15" hidden="false" customHeight="false" outlineLevel="0" collapsed="false">
      <c r="I73" s="45" t="str">
        <f aca="false">Calc!$AO$55&amp;""</f>
        <v/>
      </c>
      <c r="J73" s="23"/>
      <c r="K73" s="23"/>
    </row>
    <row r="74" customFormat="false" ht="15" hidden="false" customHeight="false" outlineLevel="0" collapsed="false">
      <c r="I74" s="45" t="str">
        <f aca="false">Calc!$AO$56&amp;""</f>
        <v/>
      </c>
      <c r="J74" s="23"/>
      <c r="K74" s="23"/>
    </row>
    <row r="75" customFormat="false" ht="15" hidden="false" customHeight="false" outlineLevel="0" collapsed="false">
      <c r="I75" s="45" t="str">
        <f aca="false">Calc!$AO$57&amp;""</f>
        <v/>
      </c>
      <c r="J75" s="23"/>
      <c r="K75" s="23"/>
    </row>
    <row r="76" customFormat="false" ht="15" hidden="false" customHeight="false" outlineLevel="0" collapsed="false">
      <c r="I76" s="45" t="str">
        <f aca="false">Calc!$AO$58&amp;""</f>
        <v/>
      </c>
      <c r="J76" s="23"/>
      <c r="K76" s="23"/>
    </row>
    <row r="77" customFormat="false" ht="15" hidden="false" customHeight="false" outlineLevel="0" collapsed="false">
      <c r="I77" s="45" t="str">
        <f aca="false">Calc!$AO$59&amp;""</f>
        <v/>
      </c>
      <c r="J77" s="23"/>
      <c r="K77" s="23"/>
    </row>
    <row r="78" customFormat="false" ht="15" hidden="false" customHeight="false" outlineLevel="0" collapsed="false">
      <c r="I78" s="45" t="str">
        <f aca="false">Calc!$AO$60&amp;""</f>
        <v/>
      </c>
      <c r="J78" s="23"/>
      <c r="K78" s="23"/>
    </row>
    <row r="79" customFormat="false" ht="15" hidden="false" customHeight="false" outlineLevel="0" collapsed="false">
      <c r="I79" s="45" t="str">
        <f aca="false">Calc!$AO$61&amp;""</f>
        <v/>
      </c>
      <c r="J79" s="23"/>
      <c r="K79" s="23"/>
    </row>
    <row r="80" customFormat="false" ht="15" hidden="false" customHeight="false" outlineLevel="0" collapsed="false">
      <c r="I80" s="23"/>
      <c r="J80" s="23"/>
      <c r="K80" s="23"/>
    </row>
    <row r="81" customFormat="false" ht="15" hidden="false" customHeight="false" outlineLevel="0" collapsed="false">
      <c r="I81" s="23"/>
      <c r="J81" s="23"/>
      <c r="K81" s="23"/>
    </row>
    <row r="82" customFormat="false" ht="15" hidden="false" customHeight="false" outlineLevel="0" collapsed="false">
      <c r="I82" s="23"/>
      <c r="J82" s="23"/>
      <c r="K82" s="23"/>
    </row>
    <row r="83" customFormat="false" ht="15" hidden="false" customHeight="false" outlineLevel="0" collapsed="false">
      <c r="I83" s="23"/>
      <c r="J83" s="23"/>
      <c r="K83" s="23"/>
    </row>
    <row r="84" customFormat="false" ht="15" hidden="false" customHeight="false" outlineLevel="0" collapsed="false">
      <c r="I84" s="23"/>
      <c r="J84" s="23"/>
      <c r="K84" s="23"/>
    </row>
    <row r="85" customFormat="false" ht="15" hidden="false" customHeight="false" outlineLevel="0" collapsed="false">
      <c r="I85" s="23"/>
      <c r="J85" s="23"/>
      <c r="K85" s="23"/>
    </row>
    <row r="86" customFormat="false" ht="15" hidden="false" customHeight="false" outlineLevel="0" collapsed="false">
      <c r="I86" s="23"/>
      <c r="J86" s="23"/>
      <c r="K86" s="23"/>
    </row>
    <row r="87" customFormat="false" ht="15" hidden="false" customHeight="false" outlineLevel="0" collapsed="false">
      <c r="I87" s="23"/>
      <c r="J87" s="23"/>
      <c r="K87" s="23"/>
    </row>
    <row r="88" customFormat="false" ht="15" hidden="false" customHeight="false" outlineLevel="0" collapsed="false">
      <c r="I88" s="23"/>
      <c r="J88" s="23"/>
      <c r="K88" s="23"/>
    </row>
    <row r="89" customFormat="false" ht="15" hidden="false" customHeight="false" outlineLevel="0" collapsed="false">
      <c r="I89" s="23"/>
      <c r="J89" s="23"/>
      <c r="K89" s="23"/>
    </row>
    <row r="90" customFormat="false" ht="15" hidden="false" customHeight="false" outlineLevel="0" collapsed="false">
      <c r="I90" s="41" t="s">
        <v>200</v>
      </c>
    </row>
  </sheetData>
  <sheetProtection sheet="true" password="ecf5" formatRows="false"/>
  <mergeCells count="3">
    <mergeCell ref="D4:G4"/>
    <mergeCell ref="E18:G18"/>
    <mergeCell ref="J18:K18"/>
  </mergeCells>
  <conditionalFormatting sqref="D6:D15">
    <cfRule type="expression" priority="2" aboveAverage="0" equalAverage="0" bottom="0" percent="0" rank="0" text="" dxfId="3">
      <formula>LEFT($D6,1)="⚠"</formula>
    </cfRule>
    <cfRule type="expression" priority="3" aboveAverage="0" equalAverage="0" bottom="0" percent="0" rank="0" text="" dxfId="1">
      <formula>LEFT($D6,1)="✓"</formula>
    </cfRule>
  </conditionalFormatting>
  <conditionalFormatting sqref="B20:G59">
    <cfRule type="expression" priority="4" aboveAverage="0" equalAverage="0" bottom="0" percent="0" rank="0" text="" dxfId="8">
      <formula>$F20="Yes"</formula>
    </cfRule>
  </conditionalFormatting>
  <conditionalFormatting sqref="E20:E59">
    <cfRule type="expression" priority="5" aboveAverage="0" equalAverage="0" bottom="0" percent="0" rank="0" text="" dxfId="4">
      <formula>AND(ISNUMBER($E20),$E20&lt;=7)</formula>
    </cfRule>
  </conditionalFormatting>
  <conditionalFormatting sqref="I20:K89">
    <cfRule type="expression" priority="6" aboveAverage="0" equalAverage="0" bottom="0" percent="0" rank="0" text="" dxfId="8">
      <formula>$K20="Yes"</formula>
    </cfRule>
  </conditionalFormatting>
  <dataValidations count="7">
    <dataValidation allowBlank="true" error="Type a date like 20-Dec-26" errorStyle="stop" errorTitle="Date needed" operator="greaterThan" showDropDown="false" showErrorMessage="true" showInputMessage="false" sqref="C6:C15" type="date">
      <formula1>DATE(2000,1,1)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E6:E15" type="list">
      <formula1>VisaList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F6:F15" type="list">
      <formula1>YesNo</formula1>
      <formula2>0</formula2>
    </dataValidation>
    <dataValidation allowBlank="true" error="Please pick from the list (click the ▼ arrow)." errorStyle="warning" errorTitle="Pick from the list" operator="between" showDropDown="false" showErrorMessage="false" showInputMessage="false" sqref="C20:C59" type="list">
      <formula1>TravList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F20:F59" type="list">
      <formula1>YesNo</formula1>
      <formula2>0</formula2>
    </dataValidation>
    <dataValidation allowBlank="true" error="Please pick from the list (click the ▼ arrow)." errorStyle="warning" errorTitle="Pick from the list" operator="between" showDropDown="false" showErrorMessage="false" showInputMessage="false" sqref="J20:J89" type="list">
      <formula1>TravList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K20:K89" type="list">
      <formula1>YesNo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9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8"/>
    <col collapsed="false" customWidth="true" hidden="false" outlineLevel="0" max="5" min="3" style="0" width="14"/>
    <col collapsed="false" customWidth="true" hidden="false" outlineLevel="0" max="6" min="6" style="0" width="15"/>
    <col collapsed="false" customWidth="true" hidden="false" outlineLevel="0" max="7" min="7" style="0" width="14"/>
    <col collapsed="false" customWidth="true" hidden="false" outlineLevel="0" max="8" min="8" style="0" width="20"/>
    <col collapsed="false" customWidth="true" hidden="false" outlineLevel="0" max="9" min="9" style="0" width="8"/>
  </cols>
  <sheetData>
    <row r="1" customFormat="false" ht="33.75" hidden="false" customHeight="true" outlineLevel="0" collapsed="false">
      <c r="A1" s="16" t="s">
        <v>58</v>
      </c>
      <c r="B1" s="17" t="s">
        <v>201</v>
      </c>
    </row>
    <row r="2" customFormat="false" ht="15" hidden="false" customHeight="false" outlineLevel="0" collapsed="false">
      <c r="B2" s="18" t="s">
        <v>202</v>
      </c>
    </row>
    <row r="4" customFormat="false" ht="25.5" hidden="false" customHeight="true" outlineLevel="0" collapsed="false">
      <c r="B4" s="83" t="str">
        <f aca="true">IF(TripStart="","Add your dates on Setup",IF(TripStart&lt;=TODAY(),"Trip time — no more saving needed!",TEXT((TripStart-TODAY())/30.44,"0.0")&amp;" months to go until "&amp;TEXT(TripStart,"dd mmm yyyy")))</f>
        <v>Add your dates on Setup</v>
      </c>
      <c r="C4" s="83"/>
      <c r="D4" s="83"/>
      <c r="E4" s="83"/>
      <c r="F4" s="83"/>
      <c r="G4" s="83"/>
      <c r="H4" s="83"/>
      <c r="I4" s="83"/>
      <c r="J4" s="83"/>
    </row>
    <row r="6" customFormat="false" ht="30" hidden="false" customHeight="true" outlineLevel="0" collapsed="false">
      <c r="B6" s="22" t="s">
        <v>184</v>
      </c>
      <c r="C6" s="22" t="s">
        <v>203</v>
      </c>
      <c r="D6" s="22" t="s">
        <v>204</v>
      </c>
      <c r="E6" s="22" t="s">
        <v>205</v>
      </c>
      <c r="F6" s="22" t="s">
        <v>206</v>
      </c>
      <c r="G6" s="22" t="s">
        <v>207</v>
      </c>
      <c r="H6" s="22" t="s">
        <v>208</v>
      </c>
      <c r="I6" s="22" t="s">
        <v>40</v>
      </c>
    </row>
    <row r="7" customFormat="false" ht="15" hidden="false" customHeight="false" outlineLevel="0" collapsed="false">
      <c r="B7" s="78" t="str">
        <f aca="false">'Split &amp; Settle'!B7&amp;""</f>
        <v/>
      </c>
      <c r="C7" s="34" t="str">
        <f aca="false">IF(B7="","",'Split &amp; Settle'!D7)</f>
        <v/>
      </c>
      <c r="D7" s="43"/>
      <c r="E7" s="33" t="str">
        <f aca="false">IF(B7="","",MAX(0,C7-N(D7)))</f>
        <v/>
      </c>
      <c r="F7" s="34" t="str">
        <f aca="true">IF(OR(B7="",TripStart=""),"",IF(TripStart&lt;=TODAY(),0,E7/MAX(1,((TripStart-TODAY())/30.44))))</f>
        <v/>
      </c>
      <c r="G7" s="34" t="str">
        <f aca="true">IF(F7="","",IF(TripStart&lt;=TODAY(),0,E7/MAX(1,(TripStart-TODAY())/7)))</f>
        <v/>
      </c>
      <c r="H7" s="84" t="str">
        <f aca="false">IF(OR(B7="",N(C7)=0),"",REPT("█",ROUND(12*MIN(1,N(D7)/C7),0))&amp;REPT("░",12-ROUND(12*MIN(1,N(D7)/C7),0)))</f>
        <v/>
      </c>
      <c r="I7" s="85" t="str">
        <f aca="false">IF(OR(B7="",N(C7)=0),"",MIN(1,N(D7)/C7))</f>
        <v/>
      </c>
    </row>
    <row r="8" customFormat="false" ht="15" hidden="false" customHeight="false" outlineLevel="0" collapsed="false">
      <c r="B8" s="78" t="str">
        <f aca="false">'Split &amp; Settle'!B8&amp;""</f>
        <v/>
      </c>
      <c r="C8" s="34" t="str">
        <f aca="false">IF(B8="","",'Split &amp; Settle'!D8)</f>
        <v/>
      </c>
      <c r="D8" s="43"/>
      <c r="E8" s="33" t="str">
        <f aca="false">IF(B8="","",MAX(0,C8-N(D8)))</f>
        <v/>
      </c>
      <c r="F8" s="34" t="str">
        <f aca="true">IF(OR(B8="",TripStart=""),"",IF(TripStart&lt;=TODAY(),0,E8/MAX(1,((TripStart-TODAY())/30.44))))</f>
        <v/>
      </c>
      <c r="G8" s="34" t="str">
        <f aca="true">IF(F8="","",IF(TripStart&lt;=TODAY(),0,E8/MAX(1,(TripStart-TODAY())/7)))</f>
        <v/>
      </c>
      <c r="H8" s="84" t="str">
        <f aca="false">IF(OR(B8="",N(C8)=0),"",REPT("█",ROUND(12*MIN(1,N(D8)/C8),0))&amp;REPT("░",12-ROUND(12*MIN(1,N(D8)/C8),0)))</f>
        <v/>
      </c>
      <c r="I8" s="85" t="str">
        <f aca="false">IF(OR(B8="",N(C8)=0),"",MIN(1,N(D8)/C8))</f>
        <v/>
      </c>
    </row>
    <row r="9" customFormat="false" ht="15" hidden="false" customHeight="false" outlineLevel="0" collapsed="false">
      <c r="B9" s="78" t="str">
        <f aca="false">'Split &amp; Settle'!B9&amp;""</f>
        <v/>
      </c>
      <c r="C9" s="34" t="str">
        <f aca="false">IF(B9="","",'Split &amp; Settle'!D9)</f>
        <v/>
      </c>
      <c r="D9" s="43"/>
      <c r="E9" s="33" t="str">
        <f aca="false">IF(B9="","",MAX(0,C9-N(D9)))</f>
        <v/>
      </c>
      <c r="F9" s="34" t="str">
        <f aca="true">IF(OR(B9="",TripStart=""),"",IF(TripStart&lt;=TODAY(),0,E9/MAX(1,((TripStart-TODAY())/30.44))))</f>
        <v/>
      </c>
      <c r="G9" s="34" t="str">
        <f aca="true">IF(F9="","",IF(TripStart&lt;=TODAY(),0,E9/MAX(1,(TripStart-TODAY())/7)))</f>
        <v/>
      </c>
      <c r="H9" s="84" t="str">
        <f aca="false">IF(OR(B9="",N(C9)=0),"",REPT("█",ROUND(12*MIN(1,N(D9)/C9),0))&amp;REPT("░",12-ROUND(12*MIN(1,N(D9)/C9),0)))</f>
        <v/>
      </c>
      <c r="I9" s="85" t="str">
        <f aca="false">IF(OR(B9="",N(C9)=0),"",MIN(1,N(D9)/C9))</f>
        <v/>
      </c>
    </row>
    <row r="10" customFormat="false" ht="15" hidden="false" customHeight="false" outlineLevel="0" collapsed="false">
      <c r="B10" s="78" t="str">
        <f aca="false">'Split &amp; Settle'!B10&amp;""</f>
        <v/>
      </c>
      <c r="C10" s="34" t="str">
        <f aca="false">IF(B10="","",'Split &amp; Settle'!D10)</f>
        <v/>
      </c>
      <c r="D10" s="43"/>
      <c r="E10" s="33" t="str">
        <f aca="false">IF(B10="","",MAX(0,C10-N(D10)))</f>
        <v/>
      </c>
      <c r="F10" s="34" t="str">
        <f aca="true">IF(OR(B10="",TripStart=""),"",IF(TripStart&lt;=TODAY(),0,E10/MAX(1,((TripStart-TODAY())/30.44))))</f>
        <v/>
      </c>
      <c r="G10" s="34" t="str">
        <f aca="true">IF(F10="","",IF(TripStart&lt;=TODAY(),0,E10/MAX(1,(TripStart-TODAY())/7)))</f>
        <v/>
      </c>
      <c r="H10" s="84" t="str">
        <f aca="false">IF(OR(B10="",N(C10)=0),"",REPT("█",ROUND(12*MIN(1,N(D10)/C10),0))&amp;REPT("░",12-ROUND(12*MIN(1,N(D10)/C10),0)))</f>
        <v/>
      </c>
      <c r="I10" s="85" t="str">
        <f aca="false">IF(OR(B10="",N(C10)=0),"",MIN(1,N(D10)/C10))</f>
        <v/>
      </c>
    </row>
    <row r="11" customFormat="false" ht="15" hidden="false" customHeight="false" outlineLevel="0" collapsed="false">
      <c r="B11" s="78" t="str">
        <f aca="false">'Split &amp; Settle'!B11&amp;""</f>
        <v/>
      </c>
      <c r="C11" s="34" t="str">
        <f aca="false">IF(B11="","",'Split &amp; Settle'!D11)</f>
        <v/>
      </c>
      <c r="D11" s="43"/>
      <c r="E11" s="33" t="str">
        <f aca="false">IF(B11="","",MAX(0,C11-N(D11)))</f>
        <v/>
      </c>
      <c r="F11" s="34" t="str">
        <f aca="true">IF(OR(B11="",TripStart=""),"",IF(TripStart&lt;=TODAY(),0,E11/MAX(1,((TripStart-TODAY())/30.44))))</f>
        <v/>
      </c>
      <c r="G11" s="34" t="str">
        <f aca="true">IF(F11="","",IF(TripStart&lt;=TODAY(),0,E11/MAX(1,(TripStart-TODAY())/7)))</f>
        <v/>
      </c>
      <c r="H11" s="84" t="str">
        <f aca="false">IF(OR(B11="",N(C11)=0),"",REPT("█",ROUND(12*MIN(1,N(D11)/C11),0))&amp;REPT("░",12-ROUND(12*MIN(1,N(D11)/C11),0)))</f>
        <v/>
      </c>
      <c r="I11" s="85" t="str">
        <f aca="false">IF(OR(B11="",N(C11)=0),"",MIN(1,N(D11)/C11))</f>
        <v/>
      </c>
    </row>
    <row r="12" customFormat="false" ht="15" hidden="false" customHeight="false" outlineLevel="0" collapsed="false">
      <c r="B12" s="78" t="str">
        <f aca="false">'Split &amp; Settle'!B12&amp;""</f>
        <v/>
      </c>
      <c r="C12" s="34" t="str">
        <f aca="false">IF(B12="","",'Split &amp; Settle'!D12)</f>
        <v/>
      </c>
      <c r="D12" s="43"/>
      <c r="E12" s="33" t="str">
        <f aca="false">IF(B12="","",MAX(0,C12-N(D12)))</f>
        <v/>
      </c>
      <c r="F12" s="34" t="str">
        <f aca="true">IF(OR(B12="",TripStart=""),"",IF(TripStart&lt;=TODAY(),0,E12/MAX(1,((TripStart-TODAY())/30.44))))</f>
        <v/>
      </c>
      <c r="G12" s="34" t="str">
        <f aca="true">IF(F12="","",IF(TripStart&lt;=TODAY(),0,E12/MAX(1,(TripStart-TODAY())/7)))</f>
        <v/>
      </c>
      <c r="H12" s="84" t="str">
        <f aca="false">IF(OR(B12="",N(C12)=0),"",REPT("█",ROUND(12*MIN(1,N(D12)/C12),0))&amp;REPT("░",12-ROUND(12*MIN(1,N(D12)/C12),0)))</f>
        <v/>
      </c>
      <c r="I12" s="85" t="str">
        <f aca="false">IF(OR(B12="",N(C12)=0),"",MIN(1,N(D12)/C12))</f>
        <v/>
      </c>
    </row>
    <row r="13" customFormat="false" ht="15" hidden="false" customHeight="false" outlineLevel="0" collapsed="false">
      <c r="B13" s="78" t="str">
        <f aca="false">'Split &amp; Settle'!B13&amp;""</f>
        <v/>
      </c>
      <c r="C13" s="34" t="str">
        <f aca="false">IF(B13="","",'Split &amp; Settle'!D13)</f>
        <v/>
      </c>
      <c r="D13" s="43"/>
      <c r="E13" s="33" t="str">
        <f aca="false">IF(B13="","",MAX(0,C13-N(D13)))</f>
        <v/>
      </c>
      <c r="F13" s="34" t="str">
        <f aca="true">IF(OR(B13="",TripStart=""),"",IF(TripStart&lt;=TODAY(),0,E13/MAX(1,((TripStart-TODAY())/30.44))))</f>
        <v/>
      </c>
      <c r="G13" s="34" t="str">
        <f aca="true">IF(F13="","",IF(TripStart&lt;=TODAY(),0,E13/MAX(1,(TripStart-TODAY())/7)))</f>
        <v/>
      </c>
      <c r="H13" s="84" t="str">
        <f aca="false">IF(OR(B13="",N(C13)=0),"",REPT("█",ROUND(12*MIN(1,N(D13)/C13),0))&amp;REPT("░",12-ROUND(12*MIN(1,N(D13)/C13),0)))</f>
        <v/>
      </c>
      <c r="I13" s="85" t="str">
        <f aca="false">IF(OR(B13="",N(C13)=0),"",MIN(1,N(D13)/C13))</f>
        <v/>
      </c>
    </row>
    <row r="14" customFormat="false" ht="15" hidden="false" customHeight="false" outlineLevel="0" collapsed="false">
      <c r="B14" s="78" t="str">
        <f aca="false">'Split &amp; Settle'!B14&amp;""</f>
        <v/>
      </c>
      <c r="C14" s="34" t="str">
        <f aca="false">IF(B14="","",'Split &amp; Settle'!D14)</f>
        <v/>
      </c>
      <c r="D14" s="43"/>
      <c r="E14" s="33" t="str">
        <f aca="false">IF(B14="","",MAX(0,C14-N(D14)))</f>
        <v/>
      </c>
      <c r="F14" s="34" t="str">
        <f aca="true">IF(OR(B14="",TripStart=""),"",IF(TripStart&lt;=TODAY(),0,E14/MAX(1,((TripStart-TODAY())/30.44))))</f>
        <v/>
      </c>
      <c r="G14" s="34" t="str">
        <f aca="true">IF(F14="","",IF(TripStart&lt;=TODAY(),0,E14/MAX(1,(TripStart-TODAY())/7)))</f>
        <v/>
      </c>
      <c r="H14" s="84" t="str">
        <f aca="false">IF(OR(B14="",N(C14)=0),"",REPT("█",ROUND(12*MIN(1,N(D14)/C14),0))&amp;REPT("░",12-ROUND(12*MIN(1,N(D14)/C14),0)))</f>
        <v/>
      </c>
      <c r="I14" s="85" t="str">
        <f aca="false">IF(OR(B14="",N(C14)=0),"",MIN(1,N(D14)/C14))</f>
        <v/>
      </c>
    </row>
    <row r="15" customFormat="false" ht="15" hidden="false" customHeight="false" outlineLevel="0" collapsed="false">
      <c r="B15" s="78" t="str">
        <f aca="false">'Split &amp; Settle'!B15&amp;""</f>
        <v/>
      </c>
      <c r="C15" s="34" t="str">
        <f aca="false">IF(B15="","",'Split &amp; Settle'!D15)</f>
        <v/>
      </c>
      <c r="D15" s="43"/>
      <c r="E15" s="33" t="str">
        <f aca="false">IF(B15="","",MAX(0,C15-N(D15)))</f>
        <v/>
      </c>
      <c r="F15" s="34" t="str">
        <f aca="true">IF(OR(B15="",TripStart=""),"",IF(TripStart&lt;=TODAY(),0,E15/MAX(1,((TripStart-TODAY())/30.44))))</f>
        <v/>
      </c>
      <c r="G15" s="34" t="str">
        <f aca="true">IF(F15="","",IF(TripStart&lt;=TODAY(),0,E15/MAX(1,(TripStart-TODAY())/7)))</f>
        <v/>
      </c>
      <c r="H15" s="84" t="str">
        <f aca="false">IF(OR(B15="",N(C15)=0),"",REPT("█",ROUND(12*MIN(1,N(D15)/C15),0))&amp;REPT("░",12-ROUND(12*MIN(1,N(D15)/C15),0)))</f>
        <v/>
      </c>
      <c r="I15" s="85" t="str">
        <f aca="false">IF(OR(B15="",N(C15)=0),"",MIN(1,N(D15)/C15))</f>
        <v/>
      </c>
    </row>
    <row r="16" customFormat="false" ht="15" hidden="false" customHeight="false" outlineLevel="0" collapsed="false">
      <c r="B16" s="78" t="str">
        <f aca="false">'Split &amp; Settle'!B16&amp;""</f>
        <v/>
      </c>
      <c r="C16" s="34" t="str">
        <f aca="false">IF(B16="","",'Split &amp; Settle'!D16)</f>
        <v/>
      </c>
      <c r="D16" s="43"/>
      <c r="E16" s="33" t="str">
        <f aca="false">IF(B16="","",MAX(0,C16-N(D16)))</f>
        <v/>
      </c>
      <c r="F16" s="34" t="str">
        <f aca="true">IF(OR(B16="",TripStart=""),"",IF(TripStart&lt;=TODAY(),0,E16/MAX(1,((TripStart-TODAY())/30.44))))</f>
        <v/>
      </c>
      <c r="G16" s="34" t="str">
        <f aca="true">IF(F16="","",IF(TripStart&lt;=TODAY(),0,E16/MAX(1,(TripStart-TODAY())/7)))</f>
        <v/>
      </c>
      <c r="H16" s="84" t="str">
        <f aca="false">IF(OR(B16="",N(C16)=0),"",REPT("█",ROUND(12*MIN(1,N(D16)/C16),0))&amp;REPT("░",12-ROUND(12*MIN(1,N(D16)/C16),0)))</f>
        <v/>
      </c>
      <c r="I16" s="85" t="str">
        <f aca="false">IF(OR(B16="",N(C16)=0),"",MIN(1,N(D16)/C16))</f>
        <v/>
      </c>
    </row>
    <row r="17" customFormat="false" ht="15" hidden="false" customHeight="false" outlineLevel="0" collapsed="false">
      <c r="B17" s="10" t="s">
        <v>114</v>
      </c>
      <c r="C17" s="33" t="n">
        <f aca="false">SUM(C7:C16)</f>
        <v>0</v>
      </c>
      <c r="D17" s="33" t="n">
        <f aca="false">SUM(D7:D16)</f>
        <v>0</v>
      </c>
      <c r="E17" s="33" t="n">
        <f aca="false">SUM(E7:E16)</f>
        <v>0</v>
      </c>
      <c r="F17" s="33" t="n">
        <f aca="false">SUM(F7:F16)</f>
        <v>0</v>
      </c>
      <c r="G17" s="33" t="n">
        <f aca="false">SUM(G7:G16)</f>
        <v>0</v>
      </c>
      <c r="I17" s="86" t="str">
        <f aca="false">IF(C17=0,"",D17/C17)</f>
        <v/>
      </c>
    </row>
    <row r="19" customFormat="false" ht="15" hidden="false" customHeight="false" outlineLevel="0" collapsed="false">
      <c r="B19" s="41" t="s">
        <v>209</v>
      </c>
    </row>
  </sheetData>
  <sheetProtection sheet="true" password="ecf5" formatRows="false"/>
  <mergeCells count="1">
    <mergeCell ref="B4:J4"/>
  </mergeCells>
  <conditionalFormatting sqref="I7:I17">
    <cfRule type="expression" priority="2" aboveAverage="0" equalAverage="0" bottom="0" percent="0" rank="0" text="" dxfId="9">
      <formula>AND(ISNUMBER(I7),I7&gt;=1)</formula>
    </cfRule>
  </conditionalFormatting>
  <dataValidations count="1">
    <dataValidation allowBlank="true" error="Type a number only (no currency symbols)." errorStyle="stop" errorTitle="Number needed" operator="greaterThanOrEqual" showDropDown="false" showErrorMessage="true" showInputMessage="false" sqref="D7:D16" type="decimal">
      <formula1>0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82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2"/>
    <col collapsed="false" customWidth="true" hidden="false" outlineLevel="0" max="5" min="3" style="0" width="13"/>
    <col collapsed="false" customWidth="true" hidden="false" outlineLevel="0" max="7" min="6" style="0" width="12"/>
    <col collapsed="false" customWidth="true" hidden="false" outlineLevel="0" max="8" min="8" style="0" width="13"/>
    <col collapsed="false" customWidth="true" hidden="true" outlineLevel="0" max="9" min="9" style="0" width="13"/>
    <col collapsed="false" customWidth="true" hidden="false" outlineLevel="0" max="12" min="10" style="0" width="13"/>
    <col collapsed="false" customWidth="true" hidden="false" outlineLevel="0" max="13" min="13" style="0" width="15"/>
  </cols>
  <sheetData>
    <row r="1" customFormat="false" ht="39.75" hidden="false" customHeight="true" outlineLevel="0" collapsed="false">
      <c r="A1" s="87" t="s">
        <v>58</v>
      </c>
      <c r="B1" s="88" t="str">
        <f aca="false">"✈  "&amp;TripName</f>
        <v>✈  My trip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customFormat="false" ht="15" hidden="false" customHeight="false" outlineLevel="0" collapsed="false">
      <c r="B2" s="89" t="str">
        <f aca="false">IF(TripStart="","Start on the Setup tab: pick a country, dates and names.",TripDest&amp;"  ·  "&amp;TEXT(TripStart,"dd mmm")&amp;" – "&amp;TEXT(TripEnd,"dd mmm yyyy")&amp;"  ·  "&amp;TripDays&amp;" days  ·  "&amp;TravCount&amp;" traveller(s)  ·  "&amp;TripStyle&amp;"  ·  "&amp;TripType)</f>
        <v>Start on the Setup tab: pick a country, dates and names.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</row>
    <row r="3" customFormat="false" ht="30" hidden="false" customHeight="true" outlineLevel="0" collapsed="false">
      <c r="B3" s="90" t="str">
        <f aca="true">IF(TripStart="","",IF(TripStart-TODAY()&gt;0,"⏳  "&amp;(TripStart-TODAY())&amp;" DAYS TO GO",IF(TODAY()&lt;=TripEnd,"🌴  ON THE TRIP · DAY "&amp;(TODAY()-TripStart+1)&amp;" OF "&amp;TripDays,"✅  TRIP COMPLETE")))</f>
        <v/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</row>
    <row r="4" customFormat="false" ht="15" hidden="false" customHeight="false" outlineLevel="0" collapsed="false">
      <c r="B4" s="91" t="s">
        <v>210</v>
      </c>
      <c r="C4" s="23" t="s">
        <v>211</v>
      </c>
      <c r="D4" s="23"/>
      <c r="E4" s="18" t="s">
        <v>212</v>
      </c>
    </row>
    <row r="6" customFormat="false" ht="19.5" hidden="false" customHeight="true" outlineLevel="0" collapsed="false">
      <c r="B6" s="92" t="str">
        <f aca="false">IF(ViewIdx&gt;0,"FAIR-SHARE BUDGET","BUDGET")</f>
        <v>BUDGET</v>
      </c>
      <c r="C6" s="92"/>
      <c r="D6" s="92" t="str">
        <f aca="false">IF(ViewIdx&gt;0,"THEIR SHARE","EXPECTED COST")</f>
        <v>EXPECTED COST</v>
      </c>
      <c r="E6" s="92"/>
      <c r="F6" s="93" t="str">
        <f aca="false">IF(ViewIdx&gt;0,"THEY PAID","PAID SO FAR")</f>
        <v>PAID SO FAR</v>
      </c>
      <c r="G6" s="93"/>
      <c r="H6" s="94" t="str">
        <f aca="false">"LEFT IN BUDGET"</f>
        <v>LEFT IN BUDGET</v>
      </c>
      <c r="I6" s="94"/>
      <c r="J6" s="95" t="str">
        <f aca="false">IF(ViewIdx&gt;0,"DAILY BUDGET (EACH)","DAILY BUDGET")</f>
        <v>DAILY BUDGET</v>
      </c>
      <c r="K6" s="95"/>
      <c r="L6" s="92" t="str">
        <f aca="false">IF(ViewIdx&gt;0,"SETTLE-UP","BUDGET HEALTH")</f>
        <v>BUDGET HEALTH</v>
      </c>
      <c r="M6" s="92"/>
    </row>
    <row r="7" customFormat="false" ht="39.75" hidden="false" customHeight="true" outlineLevel="0" collapsed="false">
      <c r="B7" s="96" t="n">
        <f aca="false">IF(ViewIdx&gt;0,TotalBudget/MAX(1,TravCount),TotalBudget)</f>
        <v>0</v>
      </c>
      <c r="C7" s="96"/>
      <c r="D7" s="96" t="n">
        <f aca="false">IF(ViewIdx&gt;0,INDEX('Split &amp; Settle'!$D$7:$D$16,ViewIdx),SUM(Expenses!$S$6:$S$205))</f>
        <v>0</v>
      </c>
      <c r="E7" s="96"/>
      <c r="F7" s="97" t="n">
        <f aca="false">IF(ViewIdx&gt;0,INDEX('Split &amp; Settle'!$F$7:$F$16,ViewIdx),SUMPRODUCT(Expenses!$S$6:$S$205,Expenses!$AP$6:$AP$205))</f>
        <v>0</v>
      </c>
      <c r="G7" s="97"/>
      <c r="H7" s="98" t="n">
        <f aca="false">B7-D7</f>
        <v>0</v>
      </c>
      <c r="I7" s="98"/>
      <c r="J7" s="99" t="str">
        <f aca="false">IF(N(DailyBudget)=0,"",IF(ViewIdx&gt;0,DailyBudget/MAX(1,TravCount),DailyBudget))</f>
        <v/>
      </c>
      <c r="K7" s="99"/>
      <c r="L7" s="96" t="str">
        <f aca="false">IF(ViewIdx&gt;0,IF(ABS(INDEX('Split &amp; Settle'!$G$7:$G$16,ViewIdx))&lt;1,"✓ Settled",IF(INDEX('Split &amp; Settle'!$G$7:$G$16,ViewIdx)&gt;0,"Gets back "&amp;TEXT(INDEX('Split &amp; Settle'!$G$7:$G$16,ViewIdx),"#,##0"),"Owes "&amp;TEXT(-INDEX('Split &amp; Settle'!$G$7:$G$16,ViewIdx),"#,##0"))),IF(N(B7)=0,"—",IF(D7&lt;=0.9*B7,"● On track",IF(D7&lt;=B7,"● Tight","● Over budget"))))</f>
        <v>—</v>
      </c>
      <c r="M7" s="96"/>
    </row>
    <row r="8" customFormat="false" ht="15" hidden="false" customHeight="false" outlineLevel="0" collapsed="false">
      <c r="B8" s="100" t="str">
        <f aca="false">HomeCcy</f>
        <v>INR</v>
      </c>
      <c r="C8" s="100"/>
      <c r="D8" s="100" t="str">
        <f aca="false">IF(N(B7)=0,"",TEXT(D7/B7,"0%")&amp;" of budget")</f>
        <v/>
      </c>
      <c r="E8" s="100"/>
      <c r="F8" s="101" t="str">
        <f aca="false">IF(N(D7)=0,"",TEXT(F7/D7,"0%")&amp;" of expected")</f>
        <v/>
      </c>
      <c r="G8" s="101"/>
      <c r="H8" s="102" t="str">
        <f aca="false">IF(N(H7)&lt;0,"⚠ over budget","")</f>
        <v/>
      </c>
      <c r="I8" s="102"/>
      <c r="J8" s="103" t="str">
        <f aca="false">HomeCcy&amp;" per day"</f>
        <v>INR per day</v>
      </c>
      <c r="K8" s="103"/>
      <c r="L8" s="100" t="str">
        <f aca="false">IF(ViewIdx&gt;0,HomeCcy,"spend vs budget")</f>
        <v>spend vs budget</v>
      </c>
      <c r="M8" s="100"/>
    </row>
    <row r="9" customFormat="false" ht="15" hidden="false" customHeight="false" outlineLevel="0" collapsed="false">
      <c r="B9" s="104" t="str">
        <f aca="false">IF(N(B7)=0,"",REPT("█",MIN(40,ROUND(40*D7/B7,0)))&amp;REPT("░",MAX(0,40-ROUND(40*D7/B7,0)))&amp;"  "&amp;TEXT(D7/B7,"0%")&amp;" used")</f>
        <v/>
      </c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</row>
    <row r="11" customFormat="false" ht="15" hidden="false" customHeight="false" outlineLevel="0" collapsed="false">
      <c r="B11" s="19" t="s">
        <v>213</v>
      </c>
    </row>
    <row r="12" customFormat="false" ht="30" hidden="false" customHeight="true" outlineLevel="0" collapsed="false">
      <c r="B12" s="22" t="s">
        <v>100</v>
      </c>
      <c r="C12" s="22" t="s">
        <v>214</v>
      </c>
      <c r="D12" s="22" t="s">
        <v>215</v>
      </c>
      <c r="E12" s="22" t="s">
        <v>216</v>
      </c>
      <c r="F12" s="22" t="s">
        <v>217</v>
      </c>
      <c r="G12" s="22"/>
      <c r="H12" s="22" t="s">
        <v>40</v>
      </c>
    </row>
    <row r="13" customFormat="false" ht="15" hidden="false" customHeight="false" outlineLevel="0" collapsed="false">
      <c r="B13" s="45" t="str">
        <f aca="false">Setup!B31&amp;""</f>
        <v>Flights</v>
      </c>
      <c r="C13" s="105" t="n">
        <f aca="false">IF(B13="","",IF(ViewIdx&gt;0,Setup!E31/MAX(1,TravCount),Setup!E31))</f>
        <v>0</v>
      </c>
      <c r="D13" s="106" t="n">
        <f aca="false">IF(B13="","",IF(ViewIdx&gt;0,SUMPRODUCT((Expenses!$B$6:$B$205=B13)*Expenses!$S$6:$S$205,INDEX(Expenses!$AE$6:$AN$205,0,ViewIdx)/Expenses!$AO$6:$AO$205),SUMIFS(Expenses!$S$6:$S$205,Expenses!$B$6:$B$205,B13)))</f>
        <v>0</v>
      </c>
      <c r="E13" s="105" t="n">
        <f aca="false">IF(B13="","",C13-D13)</f>
        <v>0</v>
      </c>
      <c r="F13" s="107" t="str">
        <f aca="false">IF(OR(B13="",N(C13)=0),IF(N(D13)&gt;0,"no budget set",""),REPT("█",MIN(12,ROUND(12*D13/C13,0)))&amp;REPT("░",MAX(0,12-ROUND(12*D13/C13,0))))</f>
        <v/>
      </c>
      <c r="G13" s="107"/>
      <c r="H13" s="108" t="str">
        <f aca="false">IF(OR(B13="",N(C13)=0),"",D13/C13)</f>
        <v/>
      </c>
      <c r="I13" s="60" t="str">
        <f aca="false">IF(N(D13)&gt;0,D13+ROW()/1000000,"")</f>
        <v/>
      </c>
    </row>
    <row r="14" customFormat="false" ht="15" hidden="false" customHeight="false" outlineLevel="0" collapsed="false">
      <c r="B14" s="45" t="str">
        <f aca="false">Setup!B32&amp;""</f>
        <v>Accommodation</v>
      </c>
      <c r="C14" s="105" t="n">
        <f aca="false">IF(B14="","",IF(ViewIdx&gt;0,Setup!E32/MAX(1,TravCount),Setup!E32))</f>
        <v>0</v>
      </c>
      <c r="D14" s="106" t="n">
        <f aca="false">IF(B14="","",IF(ViewIdx&gt;0,SUMPRODUCT((Expenses!$B$6:$B$205=B14)*Expenses!$S$6:$S$205,INDEX(Expenses!$AE$6:$AN$205,0,ViewIdx)/Expenses!$AO$6:$AO$205),SUMIFS(Expenses!$S$6:$S$205,Expenses!$B$6:$B$205,B14)))</f>
        <v>0</v>
      </c>
      <c r="E14" s="105" t="n">
        <f aca="false">IF(B14="","",C14-D14)</f>
        <v>0</v>
      </c>
      <c r="F14" s="107" t="str">
        <f aca="false">IF(OR(B14="",N(C14)=0),IF(N(D14)&gt;0,"no budget set",""),REPT("█",MIN(12,ROUND(12*D14/C14,0)))&amp;REPT("░",MAX(0,12-ROUND(12*D14/C14,0))))</f>
        <v/>
      </c>
      <c r="G14" s="107"/>
      <c r="H14" s="108" t="str">
        <f aca="false">IF(OR(B14="",N(C14)=0),"",D14/C14)</f>
        <v/>
      </c>
      <c r="I14" s="60" t="str">
        <f aca="false">IF(N(D14)&gt;0,D14+ROW()/1000000,"")</f>
        <v/>
      </c>
    </row>
    <row r="15" customFormat="false" ht="15" hidden="false" customHeight="false" outlineLevel="0" collapsed="false">
      <c r="B15" s="45" t="str">
        <f aca="false">Setup!B33&amp;""</f>
        <v>Local transport</v>
      </c>
      <c r="C15" s="105" t="n">
        <f aca="false">IF(B15="","",IF(ViewIdx&gt;0,Setup!E33/MAX(1,TravCount),Setup!E33))</f>
        <v>0</v>
      </c>
      <c r="D15" s="106" t="n">
        <f aca="false">IF(B15="","",IF(ViewIdx&gt;0,SUMPRODUCT((Expenses!$B$6:$B$205=B15)*Expenses!$S$6:$S$205,INDEX(Expenses!$AE$6:$AN$205,0,ViewIdx)/Expenses!$AO$6:$AO$205),SUMIFS(Expenses!$S$6:$S$205,Expenses!$B$6:$B$205,B15)))</f>
        <v>0</v>
      </c>
      <c r="E15" s="105" t="n">
        <f aca="false">IF(B15="","",C15-D15)</f>
        <v>0</v>
      </c>
      <c r="F15" s="107" t="str">
        <f aca="false">IF(OR(B15="",N(C15)=0),IF(N(D15)&gt;0,"no budget set",""),REPT("█",MIN(12,ROUND(12*D15/C15,0)))&amp;REPT("░",MAX(0,12-ROUND(12*D15/C15,0))))</f>
        <v/>
      </c>
      <c r="G15" s="107"/>
      <c r="H15" s="108" t="str">
        <f aca="false">IF(OR(B15="",N(C15)=0),"",D15/C15)</f>
        <v/>
      </c>
      <c r="I15" s="60" t="str">
        <f aca="false">IF(N(D15)&gt;0,D15+ROW()/1000000,"")</f>
        <v/>
      </c>
    </row>
    <row r="16" customFormat="false" ht="15" hidden="false" customHeight="false" outlineLevel="0" collapsed="false">
      <c r="B16" s="45" t="str">
        <f aca="false">Setup!B34&amp;""</f>
        <v>Car rental &amp; fuel</v>
      </c>
      <c r="C16" s="105" t="n">
        <f aca="false">IF(B16="","",IF(ViewIdx&gt;0,Setup!E34/MAX(1,TravCount),Setup!E34))</f>
        <v>0</v>
      </c>
      <c r="D16" s="106" t="n">
        <f aca="false">IF(B16="","",IF(ViewIdx&gt;0,SUMPRODUCT((Expenses!$B$6:$B$205=B16)*Expenses!$S$6:$S$205,INDEX(Expenses!$AE$6:$AN$205,0,ViewIdx)/Expenses!$AO$6:$AO$205),SUMIFS(Expenses!$S$6:$S$205,Expenses!$B$6:$B$205,B16)))</f>
        <v>0</v>
      </c>
      <c r="E16" s="105" t="n">
        <f aca="false">IF(B16="","",C16-D16)</f>
        <v>0</v>
      </c>
      <c r="F16" s="107" t="str">
        <f aca="false">IF(OR(B16="",N(C16)=0),IF(N(D16)&gt;0,"no budget set",""),REPT("█",MIN(12,ROUND(12*D16/C16,0)))&amp;REPT("░",MAX(0,12-ROUND(12*D16/C16,0))))</f>
        <v/>
      </c>
      <c r="G16" s="107"/>
      <c r="H16" s="108" t="str">
        <f aca="false">IF(OR(B16="",N(C16)=0),"",D16/C16)</f>
        <v/>
      </c>
      <c r="I16" s="60" t="str">
        <f aca="false">IF(N(D16)&gt;0,D16+ROW()/1000000,"")</f>
        <v/>
      </c>
    </row>
    <row r="17" customFormat="false" ht="15" hidden="false" customHeight="false" outlineLevel="0" collapsed="false">
      <c r="B17" s="45" t="str">
        <f aca="false">Setup!B35&amp;""</f>
        <v>Trains &amp; buses</v>
      </c>
      <c r="C17" s="105" t="n">
        <f aca="false">IF(B17="","",IF(ViewIdx&gt;0,Setup!E35/MAX(1,TravCount),Setup!E35))</f>
        <v>0</v>
      </c>
      <c r="D17" s="106" t="n">
        <f aca="false">IF(B17="","",IF(ViewIdx&gt;0,SUMPRODUCT((Expenses!$B$6:$B$205=B17)*Expenses!$S$6:$S$205,INDEX(Expenses!$AE$6:$AN$205,0,ViewIdx)/Expenses!$AO$6:$AO$205),SUMIFS(Expenses!$S$6:$S$205,Expenses!$B$6:$B$205,B17)))</f>
        <v>0</v>
      </c>
      <c r="E17" s="105" t="n">
        <f aca="false">IF(B17="","",C17-D17)</f>
        <v>0</v>
      </c>
      <c r="F17" s="107" t="str">
        <f aca="false">IF(OR(B17="",N(C17)=0),IF(N(D17)&gt;0,"no budget set",""),REPT("█",MIN(12,ROUND(12*D17/C17,0)))&amp;REPT("░",MAX(0,12-ROUND(12*D17/C17,0))))</f>
        <v/>
      </c>
      <c r="G17" s="107"/>
      <c r="H17" s="108" t="str">
        <f aca="false">IF(OR(B17="",N(C17)=0),"",D17/C17)</f>
        <v/>
      </c>
      <c r="I17" s="60" t="str">
        <f aca="false">IF(N(D17)&gt;0,D17+ROW()/1000000,"")</f>
        <v/>
      </c>
    </row>
    <row r="18" customFormat="false" ht="15" hidden="false" customHeight="false" outlineLevel="0" collapsed="false">
      <c r="B18" s="45" t="str">
        <f aca="false">Setup!B36&amp;""</f>
        <v>Tours &amp; activities</v>
      </c>
      <c r="C18" s="105" t="n">
        <f aca="false">IF(B18="","",IF(ViewIdx&gt;0,Setup!E36/MAX(1,TravCount),Setup!E36))</f>
        <v>0</v>
      </c>
      <c r="D18" s="106" t="n">
        <f aca="false">IF(B18="","",IF(ViewIdx&gt;0,SUMPRODUCT((Expenses!$B$6:$B$205=B18)*Expenses!$S$6:$S$205,INDEX(Expenses!$AE$6:$AN$205,0,ViewIdx)/Expenses!$AO$6:$AO$205),SUMIFS(Expenses!$S$6:$S$205,Expenses!$B$6:$B$205,B18)))</f>
        <v>0</v>
      </c>
      <c r="E18" s="105" t="n">
        <f aca="false">IF(B18="","",C18-D18)</f>
        <v>0</v>
      </c>
      <c r="F18" s="107" t="str">
        <f aca="false">IF(OR(B18="",N(C18)=0),IF(N(D18)&gt;0,"no budget set",""),REPT("█",MIN(12,ROUND(12*D18/C18,0)))&amp;REPT("░",MAX(0,12-ROUND(12*D18/C18,0))))</f>
        <v/>
      </c>
      <c r="G18" s="107"/>
      <c r="H18" s="108" t="str">
        <f aca="false">IF(OR(B18="",N(C18)=0),"",D18/C18)</f>
        <v/>
      </c>
      <c r="I18" s="60" t="str">
        <f aca="false">IF(N(D18)&gt;0,D18+ROW()/1000000,"")</f>
        <v/>
      </c>
    </row>
    <row r="19" customFormat="false" ht="15" hidden="false" customHeight="false" outlineLevel="0" collapsed="false">
      <c r="B19" s="45" t="str">
        <f aca="false">Setup!B37&amp;""</f>
        <v>Attraction tickets</v>
      </c>
      <c r="C19" s="105" t="n">
        <f aca="false">IF(B19="","",IF(ViewIdx&gt;0,Setup!E37/MAX(1,TravCount),Setup!E37))</f>
        <v>0</v>
      </c>
      <c r="D19" s="106" t="n">
        <f aca="false">IF(B19="","",IF(ViewIdx&gt;0,SUMPRODUCT((Expenses!$B$6:$B$205=B19)*Expenses!$S$6:$S$205,INDEX(Expenses!$AE$6:$AN$205,0,ViewIdx)/Expenses!$AO$6:$AO$205),SUMIFS(Expenses!$S$6:$S$205,Expenses!$B$6:$B$205,B19)))</f>
        <v>0</v>
      </c>
      <c r="E19" s="105" t="n">
        <f aca="false">IF(B19="","",C19-D19)</f>
        <v>0</v>
      </c>
      <c r="F19" s="107" t="str">
        <f aca="false">IF(OR(B19="",N(C19)=0),IF(N(D19)&gt;0,"no budget set",""),REPT("█",MIN(12,ROUND(12*D19/C19,0)))&amp;REPT("░",MAX(0,12-ROUND(12*D19/C19,0))))</f>
        <v/>
      </c>
      <c r="G19" s="107"/>
      <c r="H19" s="108" t="str">
        <f aca="false">IF(OR(B19="",N(C19)=0),"",D19/C19)</f>
        <v/>
      </c>
      <c r="I19" s="60" t="str">
        <f aca="false">IF(N(D19)&gt;0,D19+ROW()/1000000,"")</f>
        <v/>
      </c>
    </row>
    <row r="20" customFormat="false" ht="15" hidden="false" customHeight="false" outlineLevel="0" collapsed="false">
      <c r="B20" s="45" t="str">
        <f aca="false">Setup!B38&amp;""</f>
        <v>Food &amp; dining</v>
      </c>
      <c r="C20" s="105" t="n">
        <f aca="false">IF(B20="","",IF(ViewIdx&gt;0,Setup!E38/MAX(1,TravCount),Setup!E38))</f>
        <v>0</v>
      </c>
      <c r="D20" s="106" t="n">
        <f aca="false">IF(B20="","",IF(ViewIdx&gt;0,SUMPRODUCT((Expenses!$B$6:$B$205=B20)*Expenses!$S$6:$S$205,INDEX(Expenses!$AE$6:$AN$205,0,ViewIdx)/Expenses!$AO$6:$AO$205),SUMIFS(Expenses!$S$6:$S$205,Expenses!$B$6:$B$205,B20)))</f>
        <v>0</v>
      </c>
      <c r="E20" s="105" t="n">
        <f aca="false">IF(B20="","",C20-D20)</f>
        <v>0</v>
      </c>
      <c r="F20" s="107" t="str">
        <f aca="false">IF(OR(B20="",N(C20)=0),IF(N(D20)&gt;0,"no budget set",""),REPT("█",MIN(12,ROUND(12*D20/C20,0)))&amp;REPT("░",MAX(0,12-ROUND(12*D20/C20,0))))</f>
        <v/>
      </c>
      <c r="G20" s="107"/>
      <c r="H20" s="108" t="str">
        <f aca="false">IF(OR(B20="",N(C20)=0),"",D20/C20)</f>
        <v/>
      </c>
      <c r="I20" s="60" t="str">
        <f aca="false">IF(N(D20)&gt;0,D20+ROW()/1000000,"")</f>
        <v/>
      </c>
    </row>
    <row r="21" customFormat="false" ht="15" hidden="false" customHeight="false" outlineLevel="0" collapsed="false">
      <c r="B21" s="45" t="str">
        <f aca="false">Setup!B39&amp;""</f>
        <v>Groceries &amp; snacks</v>
      </c>
      <c r="C21" s="105" t="n">
        <f aca="false">IF(B21="","",IF(ViewIdx&gt;0,Setup!E39/MAX(1,TravCount),Setup!E39))</f>
        <v>0</v>
      </c>
      <c r="D21" s="106" t="n">
        <f aca="false">IF(B21="","",IF(ViewIdx&gt;0,SUMPRODUCT((Expenses!$B$6:$B$205=B21)*Expenses!$S$6:$S$205,INDEX(Expenses!$AE$6:$AN$205,0,ViewIdx)/Expenses!$AO$6:$AO$205),SUMIFS(Expenses!$S$6:$S$205,Expenses!$B$6:$B$205,B21)))</f>
        <v>0</v>
      </c>
      <c r="E21" s="105" t="n">
        <f aca="false">IF(B21="","",C21-D21)</f>
        <v>0</v>
      </c>
      <c r="F21" s="107" t="str">
        <f aca="false">IF(OR(B21="",N(C21)=0),IF(N(D21)&gt;0,"no budget set",""),REPT("█",MIN(12,ROUND(12*D21/C21,0)))&amp;REPT("░",MAX(0,12-ROUND(12*D21/C21,0))))</f>
        <v/>
      </c>
      <c r="G21" s="107"/>
      <c r="H21" s="108" t="str">
        <f aca="false">IF(OR(B21="",N(C21)=0),"",D21/C21)</f>
        <v/>
      </c>
      <c r="I21" s="60" t="str">
        <f aca="false">IF(N(D21)&gt;0,D21+ROW()/1000000,"")</f>
        <v/>
      </c>
    </row>
    <row r="22" customFormat="false" ht="15" hidden="false" customHeight="false" outlineLevel="0" collapsed="false">
      <c r="B22" s="45" t="str">
        <f aca="false">Setup!B40&amp;""</f>
        <v>Shopping &amp; souvenirs</v>
      </c>
      <c r="C22" s="105" t="n">
        <f aca="false">IF(B22="","",IF(ViewIdx&gt;0,Setup!E40/MAX(1,TravCount),Setup!E40))</f>
        <v>0</v>
      </c>
      <c r="D22" s="106" t="n">
        <f aca="false">IF(B22="","",IF(ViewIdx&gt;0,SUMPRODUCT((Expenses!$B$6:$B$205=B22)*Expenses!$S$6:$S$205,INDEX(Expenses!$AE$6:$AN$205,0,ViewIdx)/Expenses!$AO$6:$AO$205),SUMIFS(Expenses!$S$6:$S$205,Expenses!$B$6:$B$205,B22)))</f>
        <v>0</v>
      </c>
      <c r="E22" s="105" t="n">
        <f aca="false">IF(B22="","",C22-D22)</f>
        <v>0</v>
      </c>
      <c r="F22" s="107" t="str">
        <f aca="false">IF(OR(B22="",N(C22)=0),IF(N(D22)&gt;0,"no budget set",""),REPT("█",MIN(12,ROUND(12*D22/C22,0)))&amp;REPT("░",MAX(0,12-ROUND(12*D22/C22,0))))</f>
        <v/>
      </c>
      <c r="G22" s="107"/>
      <c r="H22" s="108" t="str">
        <f aca="false">IF(OR(B22="",N(C22)=0),"",D22/C22)</f>
        <v/>
      </c>
      <c r="I22" s="60" t="str">
        <f aca="false">IF(N(D22)&gt;0,D22+ROW()/1000000,"")</f>
        <v/>
      </c>
    </row>
    <row r="23" customFormat="false" ht="15" hidden="false" customHeight="false" outlineLevel="0" collapsed="false">
      <c r="B23" s="45" t="str">
        <f aca="false">Setup!B41&amp;""</f>
        <v>Visa &amp; documents</v>
      </c>
      <c r="C23" s="105" t="n">
        <f aca="false">IF(B23="","",IF(ViewIdx&gt;0,Setup!E41/MAX(1,TravCount),Setup!E41))</f>
        <v>0</v>
      </c>
      <c r="D23" s="106" t="n">
        <f aca="false">IF(B23="","",IF(ViewIdx&gt;0,SUMPRODUCT((Expenses!$B$6:$B$205=B23)*Expenses!$S$6:$S$205,INDEX(Expenses!$AE$6:$AN$205,0,ViewIdx)/Expenses!$AO$6:$AO$205),SUMIFS(Expenses!$S$6:$S$205,Expenses!$B$6:$B$205,B23)))</f>
        <v>0</v>
      </c>
      <c r="E23" s="105" t="n">
        <f aca="false">IF(B23="","",C23-D23)</f>
        <v>0</v>
      </c>
      <c r="F23" s="107" t="str">
        <f aca="false">IF(OR(B23="",N(C23)=0),IF(N(D23)&gt;0,"no budget set",""),REPT("█",MIN(12,ROUND(12*D23/C23,0)))&amp;REPT("░",MAX(0,12-ROUND(12*D23/C23,0))))</f>
        <v/>
      </c>
      <c r="G23" s="107"/>
      <c r="H23" s="108" t="str">
        <f aca="false">IF(OR(B23="",N(C23)=0),"",D23/C23)</f>
        <v/>
      </c>
      <c r="I23" s="60" t="str">
        <f aca="false">IF(N(D23)&gt;0,D23+ROW()/1000000,"")</f>
        <v/>
      </c>
    </row>
    <row r="24" customFormat="false" ht="15" hidden="false" customHeight="false" outlineLevel="0" collapsed="false">
      <c r="B24" s="45" t="str">
        <f aca="false">Setup!B42&amp;""</f>
        <v>Travel insurance</v>
      </c>
      <c r="C24" s="105" t="n">
        <f aca="false">IF(B24="","",IF(ViewIdx&gt;0,Setup!E42/MAX(1,TravCount),Setup!E42))</f>
        <v>0</v>
      </c>
      <c r="D24" s="106" t="n">
        <f aca="false">IF(B24="","",IF(ViewIdx&gt;0,SUMPRODUCT((Expenses!$B$6:$B$205=B24)*Expenses!$S$6:$S$205,INDEX(Expenses!$AE$6:$AN$205,0,ViewIdx)/Expenses!$AO$6:$AO$205),SUMIFS(Expenses!$S$6:$S$205,Expenses!$B$6:$B$205,B24)))</f>
        <v>0</v>
      </c>
      <c r="E24" s="105" t="n">
        <f aca="false">IF(B24="","",C24-D24)</f>
        <v>0</v>
      </c>
      <c r="F24" s="107" t="str">
        <f aca="false">IF(OR(B24="",N(C24)=0),IF(N(D24)&gt;0,"no budget set",""),REPT("█",MIN(12,ROUND(12*D24/C24,0)))&amp;REPT("░",MAX(0,12-ROUND(12*D24/C24,0))))</f>
        <v/>
      </c>
      <c r="G24" s="107"/>
      <c r="H24" s="108" t="str">
        <f aca="false">IF(OR(B24="",N(C24)=0),"",D24/C24)</f>
        <v/>
      </c>
      <c r="I24" s="60" t="str">
        <f aca="false">IF(N(D24)&gt;0,D24+ROW()/1000000,"")</f>
        <v/>
      </c>
    </row>
    <row r="25" customFormat="false" ht="15" hidden="false" customHeight="false" outlineLevel="0" collapsed="false">
      <c r="B25" s="45" t="str">
        <f aca="false">Setup!B43&amp;""</f>
        <v>SIM / eSIM &amp; internet</v>
      </c>
      <c r="C25" s="105" t="n">
        <f aca="false">IF(B25="","",IF(ViewIdx&gt;0,Setup!E43/MAX(1,TravCount),Setup!E43))</f>
        <v>0</v>
      </c>
      <c r="D25" s="106" t="n">
        <f aca="false">IF(B25="","",IF(ViewIdx&gt;0,SUMPRODUCT((Expenses!$B$6:$B$205=B25)*Expenses!$S$6:$S$205,INDEX(Expenses!$AE$6:$AN$205,0,ViewIdx)/Expenses!$AO$6:$AO$205),SUMIFS(Expenses!$S$6:$S$205,Expenses!$B$6:$B$205,B25)))</f>
        <v>0</v>
      </c>
      <c r="E25" s="105" t="n">
        <f aca="false">IF(B25="","",C25-D25)</f>
        <v>0</v>
      </c>
      <c r="F25" s="107" t="str">
        <f aca="false">IF(OR(B25="",N(C25)=0),IF(N(D25)&gt;0,"no budget set",""),REPT("█",MIN(12,ROUND(12*D25/C25,0)))&amp;REPT("░",MAX(0,12-ROUND(12*D25/C25,0))))</f>
        <v/>
      </c>
      <c r="G25" s="107"/>
      <c r="H25" s="108" t="str">
        <f aca="false">IF(OR(B25="",N(C25)=0),"",D25/C25)</f>
        <v/>
      </c>
      <c r="I25" s="60" t="str">
        <f aca="false">IF(N(D25)&gt;0,D25+ROW()/1000000,"")</f>
        <v/>
      </c>
    </row>
    <row r="26" customFormat="false" ht="15" hidden="false" customHeight="false" outlineLevel="0" collapsed="false">
      <c r="B26" s="45" t="str">
        <f aca="false">Setup!B44&amp;""</f>
        <v>Forex &amp; bank fees</v>
      </c>
      <c r="C26" s="105" t="n">
        <f aca="false">IF(B26="","",IF(ViewIdx&gt;0,Setup!E44/MAX(1,TravCount),Setup!E44))</f>
        <v>0</v>
      </c>
      <c r="D26" s="106" t="n">
        <f aca="false">IF(B26="","",IF(ViewIdx&gt;0,SUMPRODUCT((Expenses!$B$6:$B$205=B26)*Expenses!$S$6:$S$205,INDEX(Expenses!$AE$6:$AN$205,0,ViewIdx)/Expenses!$AO$6:$AO$205),SUMIFS(Expenses!$S$6:$S$205,Expenses!$B$6:$B$205,B26)))</f>
        <v>0</v>
      </c>
      <c r="E26" s="105" t="n">
        <f aca="false">IF(B26="","",C26-D26)</f>
        <v>0</v>
      </c>
      <c r="F26" s="107" t="str">
        <f aca="false">IF(OR(B26="",N(C26)=0),IF(N(D26)&gt;0,"no budget set",""),REPT("█",MIN(12,ROUND(12*D26/C26,0)))&amp;REPT("░",MAX(0,12-ROUND(12*D26/C26,0))))</f>
        <v/>
      </c>
      <c r="G26" s="107"/>
      <c r="H26" s="108" t="str">
        <f aca="false">IF(OR(B26="",N(C26)=0),"",D26/C26)</f>
        <v/>
      </c>
      <c r="I26" s="60" t="str">
        <f aca="false">IF(N(D26)&gt;0,D26+ROW()/1000000,"")</f>
        <v/>
      </c>
    </row>
    <row r="27" customFormat="false" ht="15" hidden="false" customHeight="false" outlineLevel="0" collapsed="false">
      <c r="B27" s="45" t="str">
        <f aca="false">Setup!B45&amp;""</f>
        <v>Tips &amp; service</v>
      </c>
      <c r="C27" s="105" t="n">
        <f aca="false">IF(B27="","",IF(ViewIdx&gt;0,Setup!E45/MAX(1,TravCount),Setup!E45))</f>
        <v>0</v>
      </c>
      <c r="D27" s="106" t="n">
        <f aca="false">IF(B27="","",IF(ViewIdx&gt;0,SUMPRODUCT((Expenses!$B$6:$B$205=B27)*Expenses!$S$6:$S$205,INDEX(Expenses!$AE$6:$AN$205,0,ViewIdx)/Expenses!$AO$6:$AO$205),SUMIFS(Expenses!$S$6:$S$205,Expenses!$B$6:$B$205,B27)))</f>
        <v>0</v>
      </c>
      <c r="E27" s="105" t="n">
        <f aca="false">IF(B27="","",C27-D27)</f>
        <v>0</v>
      </c>
      <c r="F27" s="107" t="str">
        <f aca="false">IF(OR(B27="",N(C27)=0),IF(N(D27)&gt;0,"no budget set",""),REPT("█",MIN(12,ROUND(12*D27/C27,0)))&amp;REPT("░",MAX(0,12-ROUND(12*D27/C27,0))))</f>
        <v/>
      </c>
      <c r="G27" s="107"/>
      <c r="H27" s="108" t="str">
        <f aca="false">IF(OR(B27="",N(C27)=0),"",D27/C27)</f>
        <v/>
      </c>
      <c r="I27" s="60" t="str">
        <f aca="false">IF(N(D27)&gt;0,D27+ROW()/1000000,"")</f>
        <v/>
      </c>
    </row>
    <row r="28" customFormat="false" ht="15" hidden="false" customHeight="false" outlineLevel="0" collapsed="false">
      <c r="B28" s="45" t="str">
        <f aca="false">Setup!B46&amp;""</f>
        <v>Health &amp; pharmacy</v>
      </c>
      <c r="C28" s="105" t="n">
        <f aca="false">IF(B28="","",IF(ViewIdx&gt;0,Setup!E46/MAX(1,TravCount),Setup!E46))</f>
        <v>0</v>
      </c>
      <c r="D28" s="106" t="n">
        <f aca="false">IF(B28="","",IF(ViewIdx&gt;0,SUMPRODUCT((Expenses!$B$6:$B$205=B28)*Expenses!$S$6:$S$205,INDEX(Expenses!$AE$6:$AN$205,0,ViewIdx)/Expenses!$AO$6:$AO$205),SUMIFS(Expenses!$S$6:$S$205,Expenses!$B$6:$B$205,B28)))</f>
        <v>0</v>
      </c>
      <c r="E28" s="105" t="n">
        <f aca="false">IF(B28="","",C28-D28)</f>
        <v>0</v>
      </c>
      <c r="F28" s="107" t="str">
        <f aca="false">IF(OR(B28="",N(C28)=0),IF(N(D28)&gt;0,"no budget set",""),REPT("█",MIN(12,ROUND(12*D28/C28,0)))&amp;REPT("░",MAX(0,12-ROUND(12*D28/C28,0))))</f>
        <v/>
      </c>
      <c r="G28" s="107"/>
      <c r="H28" s="108" t="str">
        <f aca="false">IF(OR(B28="",N(C28)=0),"",D28/C28)</f>
        <v/>
      </c>
      <c r="I28" s="60" t="str">
        <f aca="false">IF(N(D28)&gt;0,D28+ROW()/1000000,"")</f>
        <v/>
      </c>
    </row>
    <row r="29" customFormat="false" ht="15" hidden="false" customHeight="false" outlineLevel="0" collapsed="false">
      <c r="B29" s="45" t="str">
        <f aca="false">Setup!B47&amp;""</f>
        <v>Emergency / misc</v>
      </c>
      <c r="C29" s="105" t="n">
        <f aca="false">IF(B29="","",IF(ViewIdx&gt;0,Setup!E47/MAX(1,TravCount),Setup!E47))</f>
        <v>0</v>
      </c>
      <c r="D29" s="106" t="n">
        <f aca="false">IF(B29="","",IF(ViewIdx&gt;0,SUMPRODUCT((Expenses!$B$6:$B$205=B29)*Expenses!$S$6:$S$205,INDEX(Expenses!$AE$6:$AN$205,0,ViewIdx)/Expenses!$AO$6:$AO$205),SUMIFS(Expenses!$S$6:$S$205,Expenses!$B$6:$B$205,B29)))</f>
        <v>0</v>
      </c>
      <c r="E29" s="105" t="n">
        <f aca="false">IF(B29="","",C29-D29)</f>
        <v>0</v>
      </c>
      <c r="F29" s="107" t="str">
        <f aca="false">IF(OR(B29="",N(C29)=0),IF(N(D29)&gt;0,"no budget set",""),REPT("█",MIN(12,ROUND(12*D29/C29,0)))&amp;REPT("░",MAX(0,12-ROUND(12*D29/C29,0))))</f>
        <v/>
      </c>
      <c r="G29" s="107"/>
      <c r="H29" s="108" t="str">
        <f aca="false">IF(OR(B29="",N(C29)=0),"",D29/C29)</f>
        <v/>
      </c>
      <c r="I29" s="60" t="str">
        <f aca="false">IF(N(D29)&gt;0,D29+ROW()/1000000,"")</f>
        <v/>
      </c>
    </row>
    <row r="30" customFormat="false" ht="15" hidden="false" customHeight="false" outlineLevel="0" collapsed="false">
      <c r="B30" s="45" t="str">
        <f aca="false">Setup!B48&amp;""</f>
        <v>Other</v>
      </c>
      <c r="C30" s="105" t="n">
        <f aca="false">IF(B30="","",IF(ViewIdx&gt;0,Setup!E48/MAX(1,TravCount),Setup!E48))</f>
        <v>0</v>
      </c>
      <c r="D30" s="106" t="n">
        <f aca="false">IF(B30="","",IF(ViewIdx&gt;0,SUMPRODUCT((Expenses!$B$6:$B$205=B30)*Expenses!$S$6:$S$205,INDEX(Expenses!$AE$6:$AN$205,0,ViewIdx)/Expenses!$AO$6:$AO$205),SUMIFS(Expenses!$S$6:$S$205,Expenses!$B$6:$B$205,B30)))</f>
        <v>0</v>
      </c>
      <c r="E30" s="105" t="n">
        <f aca="false">IF(B30="","",C30-D30)</f>
        <v>0</v>
      </c>
      <c r="F30" s="107" t="str">
        <f aca="false">IF(OR(B30="",N(C30)=0),IF(N(D30)&gt;0,"no budget set",""),REPT("█",MIN(12,ROUND(12*D30/C30,0)))&amp;REPT("░",MAX(0,12-ROUND(12*D30/C30,0))))</f>
        <v/>
      </c>
      <c r="G30" s="107"/>
      <c r="H30" s="108" t="str">
        <f aca="false">IF(OR(B30="",N(C30)=0),"",D30/C30)</f>
        <v/>
      </c>
      <c r="I30" s="60" t="str">
        <f aca="false">IF(N(D30)&gt;0,D30+ROW()/1000000,"")</f>
        <v/>
      </c>
    </row>
    <row r="31" customFormat="false" ht="15" hidden="false" customHeight="false" outlineLevel="0" collapsed="false">
      <c r="B31" s="45" t="str">
        <f aca="false">Setup!B49&amp;""</f>
        <v/>
      </c>
      <c r="C31" s="105" t="str">
        <f aca="false">IF(B31="","",IF(ViewIdx&gt;0,Setup!E49/MAX(1,TravCount),Setup!E49))</f>
        <v/>
      </c>
      <c r="D31" s="106" t="str">
        <f aca="false">IF(B31="","",IF(ViewIdx&gt;0,SUMPRODUCT((Expenses!$B$6:$B$205=B31)*Expenses!$S$6:$S$205,INDEX(Expenses!$AE$6:$AN$205,0,ViewIdx)/Expenses!$AO$6:$AO$205),SUMIFS(Expenses!$S$6:$S$205,Expenses!$B$6:$B$205,B31)))</f>
        <v/>
      </c>
      <c r="E31" s="105" t="str">
        <f aca="false">IF(B31="","",C31-D31)</f>
        <v/>
      </c>
      <c r="F31" s="107" t="str">
        <f aca="false">IF(OR(B31="",N(C31)=0),IF(N(D31)&gt;0,"no budget set",""),REPT("█",MIN(12,ROUND(12*D31/C31,0)))&amp;REPT("░",MAX(0,12-ROUND(12*D31/C31,0))))</f>
        <v/>
      </c>
      <c r="G31" s="107"/>
      <c r="H31" s="108" t="str">
        <f aca="false">IF(OR(B31="",N(C31)=0),"",D31/C31)</f>
        <v/>
      </c>
      <c r="I31" s="60" t="str">
        <f aca="false">IF(N(D31)&gt;0,D31+ROW()/1000000,"")</f>
        <v/>
      </c>
    </row>
    <row r="32" customFormat="false" ht="15" hidden="false" customHeight="false" outlineLevel="0" collapsed="false">
      <c r="B32" s="45" t="str">
        <f aca="false">Setup!B50&amp;""</f>
        <v/>
      </c>
      <c r="C32" s="105" t="str">
        <f aca="false">IF(B32="","",IF(ViewIdx&gt;0,Setup!E50/MAX(1,TravCount),Setup!E50))</f>
        <v/>
      </c>
      <c r="D32" s="106" t="str">
        <f aca="false">IF(B32="","",IF(ViewIdx&gt;0,SUMPRODUCT((Expenses!$B$6:$B$205=B32)*Expenses!$S$6:$S$205,INDEX(Expenses!$AE$6:$AN$205,0,ViewIdx)/Expenses!$AO$6:$AO$205),SUMIFS(Expenses!$S$6:$S$205,Expenses!$B$6:$B$205,B32)))</f>
        <v/>
      </c>
      <c r="E32" s="105" t="str">
        <f aca="false">IF(B32="","",C32-D32)</f>
        <v/>
      </c>
      <c r="F32" s="107" t="str">
        <f aca="false">IF(OR(B32="",N(C32)=0),IF(N(D32)&gt;0,"no budget set",""),REPT("█",MIN(12,ROUND(12*D32/C32,0)))&amp;REPT("░",MAX(0,12-ROUND(12*D32/C32,0))))</f>
        <v/>
      </c>
      <c r="G32" s="107"/>
      <c r="H32" s="108" t="str">
        <f aca="false">IF(OR(B32="",N(C32)=0),"",D32/C32)</f>
        <v/>
      </c>
      <c r="I32" s="60" t="str">
        <f aca="false">IF(N(D32)&gt;0,D32+ROW()/1000000,"")</f>
        <v/>
      </c>
    </row>
    <row r="33" customFormat="false" ht="15" hidden="false" customHeight="false" outlineLevel="0" collapsed="false">
      <c r="B33" s="45" t="str">
        <f aca="false">Setup!B51&amp;""</f>
        <v/>
      </c>
      <c r="C33" s="105" t="str">
        <f aca="false">IF(B33="","",IF(ViewIdx&gt;0,Setup!E51/MAX(1,TravCount),Setup!E51))</f>
        <v/>
      </c>
      <c r="D33" s="106" t="str">
        <f aca="false">IF(B33="","",IF(ViewIdx&gt;0,SUMPRODUCT((Expenses!$B$6:$B$205=B33)*Expenses!$S$6:$S$205,INDEX(Expenses!$AE$6:$AN$205,0,ViewIdx)/Expenses!$AO$6:$AO$205),SUMIFS(Expenses!$S$6:$S$205,Expenses!$B$6:$B$205,B33)))</f>
        <v/>
      </c>
      <c r="E33" s="105" t="str">
        <f aca="false">IF(B33="","",C33-D33)</f>
        <v/>
      </c>
      <c r="F33" s="107" t="str">
        <f aca="false">IF(OR(B33="",N(C33)=0),IF(N(D33)&gt;0,"no budget set",""),REPT("█",MIN(12,ROUND(12*D33/C33,0)))&amp;REPT("░",MAX(0,12-ROUND(12*D33/C33,0))))</f>
        <v/>
      </c>
      <c r="G33" s="107"/>
      <c r="H33" s="108" t="str">
        <f aca="false">IF(OR(B33="",N(C33)=0),"",D33/C33)</f>
        <v/>
      </c>
      <c r="I33" s="60" t="str">
        <f aca="false">IF(N(D33)&gt;0,D33+ROW()/1000000,"")</f>
        <v/>
      </c>
    </row>
    <row r="34" customFormat="false" ht="15" hidden="false" customHeight="false" outlineLevel="0" collapsed="false">
      <c r="B34" s="45" t="str">
        <f aca="false">Setup!B52&amp;""</f>
        <v/>
      </c>
      <c r="C34" s="105" t="str">
        <f aca="false">IF(B34="","",IF(ViewIdx&gt;0,Setup!E52/MAX(1,TravCount),Setup!E52))</f>
        <v/>
      </c>
      <c r="D34" s="106" t="str">
        <f aca="false">IF(B34="","",IF(ViewIdx&gt;0,SUMPRODUCT((Expenses!$B$6:$B$205=B34)*Expenses!$S$6:$S$205,INDEX(Expenses!$AE$6:$AN$205,0,ViewIdx)/Expenses!$AO$6:$AO$205),SUMIFS(Expenses!$S$6:$S$205,Expenses!$B$6:$B$205,B34)))</f>
        <v/>
      </c>
      <c r="E34" s="105" t="str">
        <f aca="false">IF(B34="","",C34-D34)</f>
        <v/>
      </c>
      <c r="F34" s="107" t="str">
        <f aca="false">IF(OR(B34="",N(C34)=0),IF(N(D34)&gt;0,"no budget set",""),REPT("█",MIN(12,ROUND(12*D34/C34,0)))&amp;REPT("░",MAX(0,12-ROUND(12*D34/C34,0))))</f>
        <v/>
      </c>
      <c r="G34" s="107"/>
      <c r="H34" s="108" t="str">
        <f aca="false">IF(OR(B34="",N(C34)=0),"",D34/C34)</f>
        <v/>
      </c>
      <c r="I34" s="60" t="str">
        <f aca="false">IF(N(D34)&gt;0,D34+ROW()/1000000,"")</f>
        <v/>
      </c>
    </row>
    <row r="35" customFormat="false" ht="15" hidden="false" customHeight="false" outlineLevel="0" collapsed="false">
      <c r="B35" s="45" t="str">
        <f aca="false">Setup!B53&amp;""</f>
        <v/>
      </c>
      <c r="C35" s="105" t="str">
        <f aca="false">IF(B35="","",IF(ViewIdx&gt;0,Setup!E53/MAX(1,TravCount),Setup!E53))</f>
        <v/>
      </c>
      <c r="D35" s="106" t="str">
        <f aca="false">IF(B35="","",IF(ViewIdx&gt;0,SUMPRODUCT((Expenses!$B$6:$B$205=B35)*Expenses!$S$6:$S$205,INDEX(Expenses!$AE$6:$AN$205,0,ViewIdx)/Expenses!$AO$6:$AO$205),SUMIFS(Expenses!$S$6:$S$205,Expenses!$B$6:$B$205,B35)))</f>
        <v/>
      </c>
      <c r="E35" s="105" t="str">
        <f aca="false">IF(B35="","",C35-D35)</f>
        <v/>
      </c>
      <c r="F35" s="107" t="str">
        <f aca="false">IF(OR(B35="",N(C35)=0),IF(N(D35)&gt;0,"no budget set",""),REPT("█",MIN(12,ROUND(12*D35/C35,0)))&amp;REPT("░",MAX(0,12-ROUND(12*D35/C35,0))))</f>
        <v/>
      </c>
      <c r="G35" s="107"/>
      <c r="H35" s="108" t="str">
        <f aca="false">IF(OR(B35="",N(C35)=0),"",D35/C35)</f>
        <v/>
      </c>
      <c r="I35" s="60" t="str">
        <f aca="false">IF(N(D35)&gt;0,D35+ROW()/1000000,"")</f>
        <v/>
      </c>
    </row>
    <row r="36" customFormat="false" ht="15" hidden="false" customHeight="false" outlineLevel="0" collapsed="false">
      <c r="B36" s="45" t="str">
        <f aca="false">Setup!B54&amp;""</f>
        <v/>
      </c>
      <c r="C36" s="105" t="str">
        <f aca="false">IF(B36="","",IF(ViewIdx&gt;0,Setup!E54/MAX(1,TravCount),Setup!E54))</f>
        <v/>
      </c>
      <c r="D36" s="106" t="str">
        <f aca="false">IF(B36="","",IF(ViewIdx&gt;0,SUMPRODUCT((Expenses!$B$6:$B$205=B36)*Expenses!$S$6:$S$205,INDEX(Expenses!$AE$6:$AN$205,0,ViewIdx)/Expenses!$AO$6:$AO$205),SUMIFS(Expenses!$S$6:$S$205,Expenses!$B$6:$B$205,B36)))</f>
        <v/>
      </c>
      <c r="E36" s="105" t="str">
        <f aca="false">IF(B36="","",C36-D36)</f>
        <v/>
      </c>
      <c r="F36" s="107" t="str">
        <f aca="false">IF(OR(B36="",N(C36)=0),IF(N(D36)&gt;0,"no budget set",""),REPT("█",MIN(12,ROUND(12*D36/C36,0)))&amp;REPT("░",MAX(0,12-ROUND(12*D36/C36,0))))</f>
        <v/>
      </c>
      <c r="G36" s="107"/>
      <c r="H36" s="108" t="str">
        <f aca="false">IF(OR(B36="",N(C36)=0),"",D36/C36)</f>
        <v/>
      </c>
      <c r="I36" s="60" t="str">
        <f aca="false">IF(N(D36)&gt;0,D36+ROW()/1000000,"")</f>
        <v/>
      </c>
    </row>
    <row r="37" customFormat="false" ht="15" hidden="false" customHeight="false" outlineLevel="0" collapsed="false">
      <c r="B37" s="45" t="str">
        <f aca="false">Setup!B55&amp;""</f>
        <v/>
      </c>
      <c r="C37" s="105" t="str">
        <f aca="false">IF(B37="","",IF(ViewIdx&gt;0,Setup!E55/MAX(1,TravCount),Setup!E55))</f>
        <v/>
      </c>
      <c r="D37" s="106" t="str">
        <f aca="false">IF(B37="","",IF(ViewIdx&gt;0,SUMPRODUCT((Expenses!$B$6:$B$205=B37)*Expenses!$S$6:$S$205,INDEX(Expenses!$AE$6:$AN$205,0,ViewIdx)/Expenses!$AO$6:$AO$205),SUMIFS(Expenses!$S$6:$S$205,Expenses!$B$6:$B$205,B37)))</f>
        <v/>
      </c>
      <c r="E37" s="105" t="str">
        <f aca="false">IF(B37="","",C37-D37)</f>
        <v/>
      </c>
      <c r="F37" s="107" t="str">
        <f aca="false">IF(OR(B37="",N(C37)=0),IF(N(D37)&gt;0,"no budget set",""),REPT("█",MIN(12,ROUND(12*D37/C37,0)))&amp;REPT("░",MAX(0,12-ROUND(12*D37/C37,0))))</f>
        <v/>
      </c>
      <c r="G37" s="107"/>
      <c r="H37" s="108" t="str">
        <f aca="false">IF(OR(B37="",N(C37)=0),"",D37/C37)</f>
        <v/>
      </c>
      <c r="I37" s="60" t="str">
        <f aca="false">IF(N(D37)&gt;0,D37+ROW()/1000000,"")</f>
        <v/>
      </c>
    </row>
    <row r="38" customFormat="false" ht="15" hidden="false" customHeight="false" outlineLevel="0" collapsed="false">
      <c r="B38" s="10" t="s">
        <v>114</v>
      </c>
      <c r="C38" s="33" t="n">
        <f aca="false">SUM(C13:C37)</f>
        <v>0</v>
      </c>
      <c r="D38" s="33" t="n">
        <f aca="false">SUM(D13:D37)</f>
        <v>0</v>
      </c>
      <c r="E38" s="33" t="n">
        <f aca="false">SUM(E13:E37)</f>
        <v>0</v>
      </c>
      <c r="H38" s="86" t="str">
        <f aca="false">IF(N(C38)=0,"",D38/C38)</f>
        <v/>
      </c>
    </row>
    <row r="40" customFormat="false" ht="15" hidden="false" customHeight="false" outlineLevel="0" collapsed="false">
      <c r="B40" s="19" t="s">
        <v>218</v>
      </c>
    </row>
    <row r="41" customFormat="false" ht="15" hidden="false" customHeight="false" outlineLevel="0" collapsed="false">
      <c r="B41" s="109" t="str">
        <f aca="true">IF(COUNTIFS(Expenses!$K$6:$K$205,"&lt;"&amp;TODAY(),Expenses!$H$6:$H$205,"&lt;&gt;Paid",Expenses!$H$6:$H$205,"&lt;&gt;Cancelled")=0,"✓ No overdue payments","⚠ "&amp;COUNTIFS(Expenses!$K$6:$K$205,"&lt;"&amp;TODAY(),Expenses!$H$6:$H$205,"&lt;&gt;Paid",Expenses!$H$6:$H$205,"&lt;&gt;Cancelled")&amp;" payment(s) overdue — red dates on Expenses")</f>
        <v>✓ No overdue payments</v>
      </c>
      <c r="C41" s="109"/>
      <c r="D41" s="109"/>
      <c r="E41" s="109"/>
      <c r="F41" s="109"/>
      <c r="G41" s="109"/>
      <c r="H41" s="109"/>
    </row>
    <row r="42" customFormat="false" ht="15" hidden="false" customHeight="false" outlineLevel="0" collapsed="false">
      <c r="B42" s="109" t="str">
        <f aca="true">IF(COUNTIFS(Expenses!$K$6:$K$205,"&gt;="&amp;TODAY(),Expenses!$K$6:$K$205,"&lt;="&amp;(TODAY()+14),Expenses!$H$6:$H$205,"&lt;&gt;Paid",Expenses!$H$6:$H$205,"&lt;&gt;Cancelled")=0,"✓ Nothing due in the next 14 days","• "&amp;COUNTIFS(Expenses!$K$6:$K$205,"&gt;="&amp;TODAY(),Expenses!$K$6:$K$205,"&lt;="&amp;(TODAY()+14),Expenses!$H$6:$H$205,"&lt;&gt;Paid",Expenses!$H$6:$H$205,"&lt;&gt;Cancelled")&amp;" payment(s) due in the next 14 days")</f>
        <v>✓ Nothing due in the next 14 days</v>
      </c>
      <c r="C42" s="109"/>
      <c r="D42" s="109"/>
      <c r="E42" s="109"/>
      <c r="F42" s="109"/>
      <c r="G42" s="109"/>
      <c r="H42" s="109"/>
    </row>
    <row r="43" customFormat="false" ht="15" hidden="false" customHeight="false" outlineLevel="0" collapsed="false">
      <c r="B43" s="109" t="str">
        <f aca="false">IF(SUM(Expenses!$AQ$6:$AQ$205)=0,"✓ Every cost is split","⚠ "&amp;TEXT(SUM(Expenses!$AQ$6:$AQ$205),"#,##0")&amp;" "&amp;HomeCcy&amp;" isn't split to anyone")</f>
        <v>✓ Every cost is split</v>
      </c>
      <c r="C43" s="109"/>
      <c r="D43" s="109"/>
      <c r="E43" s="109"/>
      <c r="F43" s="109"/>
      <c r="G43" s="109"/>
      <c r="H43" s="109"/>
    </row>
    <row r="44" customFormat="false" ht="15" hidden="false" customHeight="false" outlineLevel="0" collapsed="false">
      <c r="B44" s="109" t="str">
        <f aca="false">IF(SUMPRODUCT(--(LEFT(Checklist!$D$6:$D$15,1)="⚠"))=0,"✓ Passports look fine","⚠ "&amp;SUMPRODUCT(--(LEFT(Checklist!$D$6:$D$15,1)="⚠"))&amp;" passport(s) expire within 6 months of return")</f>
        <v>✓ Passports look fine</v>
      </c>
      <c r="C44" s="109"/>
      <c r="D44" s="109"/>
      <c r="E44" s="109"/>
      <c r="F44" s="109"/>
      <c r="G44" s="109"/>
      <c r="H44" s="109"/>
    </row>
    <row r="45" customFormat="false" ht="15" hidden="false" customHeight="false" outlineLevel="0" collapsed="false">
      <c r="B45" s="109" t="str">
        <f aca="false">IF(SUMPRODUCT((Expenses!$J$6:$J$205="Optional")*Expenses!$S$6:$S$205)=0,"• No optional extras added","💡 Skip the optional extras to save "&amp;TEXT(SUMPRODUCT((Expenses!$J$6:$J$205="Optional")*Expenses!$S$6:$S$205),"#,##0")&amp;" "&amp;HomeCcy)</f>
        <v>• No optional extras added</v>
      </c>
      <c r="C45" s="109"/>
      <c r="D45" s="109"/>
      <c r="E45" s="109"/>
      <c r="F45" s="109"/>
      <c r="G45" s="109"/>
      <c r="H45" s="109"/>
    </row>
    <row r="46" customFormat="false" ht="15" hidden="false" customHeight="false" outlineLevel="0" collapsed="false">
      <c r="B46" s="109" t="str">
        <f aca="false">IF(SUMPRODUCT(--(LEFT(Setup!$K$26:$K$33,1)="⚠"))&gt;0,"⚠ A currency has no rate — see Setup","✓ Exchange rates set")</f>
        <v>✓ Exchange rates set</v>
      </c>
      <c r="C46" s="109"/>
      <c r="D46" s="109"/>
      <c r="E46" s="109"/>
      <c r="F46" s="109"/>
      <c r="G46" s="109"/>
      <c r="H46" s="109"/>
      <c r="J46" s="19" t="s">
        <v>219</v>
      </c>
    </row>
    <row r="47" customFormat="false" ht="15" hidden="false" customHeight="false" outlineLevel="0" collapsed="false">
      <c r="B47" s="109" t="str">
        <f aca="false">Checklist!$E$18&amp;"   ·   "&amp;Checklist!$J$18</f>
        <v>✓ 0 of 16 done  ░░░░░░░░░░   ·   ✓ 0 of 18 packed</v>
      </c>
      <c r="C47" s="109"/>
      <c r="D47" s="109"/>
      <c r="E47" s="109"/>
      <c r="F47" s="109"/>
      <c r="G47" s="109"/>
      <c r="H47" s="109"/>
      <c r="J47" s="110" t="str">
        <f aca="false">IF(Calc!$BK$2="",IF(0=0,"✓ Nobody owes anything yet",""),Calc!$BK$2)</f>
        <v>✓ Nobody owes anything yet</v>
      </c>
      <c r="K47" s="110"/>
      <c r="L47" s="110"/>
      <c r="M47" s="111" t="str">
        <f aca="false">IF(Calc!$BL$2="","",Calc!$BL$2)</f>
        <v/>
      </c>
    </row>
    <row r="48" customFormat="false" ht="15" hidden="false" customHeight="false" outlineLevel="0" collapsed="false">
      <c r="J48" s="110" t="str">
        <f aca="false">IF(Calc!$BK$3="",IF(1=0,"✓ Nobody owes anything yet",""),Calc!$BK$3)</f>
        <v/>
      </c>
      <c r="K48" s="110"/>
      <c r="L48" s="110"/>
      <c r="M48" s="111" t="str">
        <f aca="false">IF(Calc!$BL$3="","",Calc!$BL$3)</f>
        <v/>
      </c>
    </row>
    <row r="49" customFormat="false" ht="15" hidden="false" customHeight="false" outlineLevel="0" collapsed="false">
      <c r="J49" s="110" t="str">
        <f aca="false">IF(Calc!$BK$4="",IF(2=0,"✓ Nobody owes anything yet",""),Calc!$BK$4)</f>
        <v/>
      </c>
      <c r="K49" s="110"/>
      <c r="L49" s="110"/>
      <c r="M49" s="111" t="str">
        <f aca="false">IF(Calc!$BL$4="","",Calc!$BL$4)</f>
        <v/>
      </c>
    </row>
    <row r="50" customFormat="false" ht="15" hidden="false" customHeight="false" outlineLevel="0" collapsed="false">
      <c r="B50" s="19" t="s">
        <v>220</v>
      </c>
    </row>
    <row r="51" customFormat="false" ht="30" hidden="false" customHeight="true" outlineLevel="0" collapsed="false">
      <c r="B51" s="22" t="s">
        <v>140</v>
      </c>
      <c r="C51" s="22" t="s">
        <v>141</v>
      </c>
      <c r="D51" s="22" t="s">
        <v>221</v>
      </c>
      <c r="E51" s="22" t="s">
        <v>215</v>
      </c>
      <c r="F51" s="22" t="s">
        <v>222</v>
      </c>
      <c r="G51" s="22" t="s">
        <v>170</v>
      </c>
    </row>
    <row r="52" customFormat="false" ht="15" hidden="false" customHeight="false" outlineLevel="0" collapsed="false">
      <c r="B52" s="112" t="str">
        <f aca="false">IF(OR(N(TripDays)=0,1&gt;TripDays),"",1)</f>
        <v/>
      </c>
      <c r="C52" s="113" t="str">
        <f aca="false">IF(B52="","",TripStart+0)</f>
        <v/>
      </c>
      <c r="D52" s="105" t="str">
        <f aca="false">IF(B52="","",DailyBudget)</f>
        <v/>
      </c>
      <c r="E52" s="106" t="str">
        <f aca="false">IF(B52="","",SUMPRODUCT((Expenses!$N$6:$N$205=1)*Expenses!$S$6:$S$205*Expenses!$AS$6:$AS$205))</f>
        <v/>
      </c>
      <c r="F52" s="105" t="str">
        <f aca="false">IF(B52="","",SUMIFS(Expenses!$R$6:$R$205,Expenses!$N$6:$N$205,1,Expenses!$H$6:$H$205,"Paid"))</f>
        <v/>
      </c>
      <c r="G52" s="45" t="str">
        <f aca="false">IF(B52="","",IF(N(D52)=0,"",IF(E52&gt;D52,"▲ over by "&amp;TEXT(E52-D52,"#,##0"),"✓ within budget")))</f>
        <v/>
      </c>
    </row>
    <row r="53" customFormat="false" ht="15" hidden="false" customHeight="false" outlineLevel="0" collapsed="false">
      <c r="B53" s="112" t="str">
        <f aca="false">IF(OR(N(TripDays)=0,2&gt;TripDays),"",2)</f>
        <v/>
      </c>
      <c r="C53" s="113" t="str">
        <f aca="false">IF(B53="","",TripStart+1)</f>
        <v/>
      </c>
      <c r="D53" s="105" t="str">
        <f aca="false">IF(B53="","",DailyBudget)</f>
        <v/>
      </c>
      <c r="E53" s="106" t="str">
        <f aca="false">IF(B53="","",SUMPRODUCT((Expenses!$N$6:$N$205=2)*Expenses!$S$6:$S$205*Expenses!$AS$6:$AS$205))</f>
        <v/>
      </c>
      <c r="F53" s="105" t="str">
        <f aca="false">IF(B53="","",SUMIFS(Expenses!$R$6:$R$205,Expenses!$N$6:$N$205,2,Expenses!$H$6:$H$205,"Paid"))</f>
        <v/>
      </c>
      <c r="G53" s="45" t="str">
        <f aca="false">IF(B53="","",IF(N(D53)=0,"",IF(E53&gt;D53,"▲ over by "&amp;TEXT(E53-D53,"#,##0"),"✓ within budget")))</f>
        <v/>
      </c>
    </row>
    <row r="54" customFormat="false" ht="15" hidden="false" customHeight="false" outlineLevel="0" collapsed="false">
      <c r="B54" s="112" t="str">
        <f aca="false">IF(OR(N(TripDays)=0,3&gt;TripDays),"",3)</f>
        <v/>
      </c>
      <c r="C54" s="113" t="str">
        <f aca="false">IF(B54="","",TripStart+2)</f>
        <v/>
      </c>
      <c r="D54" s="105" t="str">
        <f aca="false">IF(B54="","",DailyBudget)</f>
        <v/>
      </c>
      <c r="E54" s="106" t="str">
        <f aca="false">IF(B54="","",SUMPRODUCT((Expenses!$N$6:$N$205=3)*Expenses!$S$6:$S$205*Expenses!$AS$6:$AS$205))</f>
        <v/>
      </c>
      <c r="F54" s="105" t="str">
        <f aca="false">IF(B54="","",SUMIFS(Expenses!$R$6:$R$205,Expenses!$N$6:$N$205,3,Expenses!$H$6:$H$205,"Paid"))</f>
        <v/>
      </c>
      <c r="G54" s="45" t="str">
        <f aca="false">IF(B54="","",IF(N(D54)=0,"",IF(E54&gt;D54,"▲ over by "&amp;TEXT(E54-D54,"#,##0"),"✓ within budget")))</f>
        <v/>
      </c>
    </row>
    <row r="55" customFormat="false" ht="15" hidden="false" customHeight="false" outlineLevel="0" collapsed="false">
      <c r="B55" s="112" t="str">
        <f aca="false">IF(OR(N(TripDays)=0,4&gt;TripDays),"",4)</f>
        <v/>
      </c>
      <c r="C55" s="113" t="str">
        <f aca="false">IF(B55="","",TripStart+3)</f>
        <v/>
      </c>
      <c r="D55" s="105" t="str">
        <f aca="false">IF(B55="","",DailyBudget)</f>
        <v/>
      </c>
      <c r="E55" s="106" t="str">
        <f aca="false">IF(B55="","",SUMPRODUCT((Expenses!$N$6:$N$205=4)*Expenses!$S$6:$S$205*Expenses!$AS$6:$AS$205))</f>
        <v/>
      </c>
      <c r="F55" s="105" t="str">
        <f aca="false">IF(B55="","",SUMIFS(Expenses!$R$6:$R$205,Expenses!$N$6:$N$205,4,Expenses!$H$6:$H$205,"Paid"))</f>
        <v/>
      </c>
      <c r="G55" s="45" t="str">
        <f aca="false">IF(B55="","",IF(N(D55)=0,"",IF(E55&gt;D55,"▲ over by "&amp;TEXT(E55-D55,"#,##0"),"✓ within budget")))</f>
        <v/>
      </c>
    </row>
    <row r="56" customFormat="false" ht="15" hidden="false" customHeight="false" outlineLevel="0" collapsed="false">
      <c r="B56" s="112" t="str">
        <f aca="false">IF(OR(N(TripDays)=0,5&gt;TripDays),"",5)</f>
        <v/>
      </c>
      <c r="C56" s="113" t="str">
        <f aca="false">IF(B56="","",TripStart+4)</f>
        <v/>
      </c>
      <c r="D56" s="105" t="str">
        <f aca="false">IF(B56="","",DailyBudget)</f>
        <v/>
      </c>
      <c r="E56" s="106" t="str">
        <f aca="false">IF(B56="","",SUMPRODUCT((Expenses!$N$6:$N$205=5)*Expenses!$S$6:$S$205*Expenses!$AS$6:$AS$205))</f>
        <v/>
      </c>
      <c r="F56" s="105" t="str">
        <f aca="false">IF(B56="","",SUMIFS(Expenses!$R$6:$R$205,Expenses!$N$6:$N$205,5,Expenses!$H$6:$H$205,"Paid"))</f>
        <v/>
      </c>
      <c r="G56" s="45" t="str">
        <f aca="false">IF(B56="","",IF(N(D56)=0,"",IF(E56&gt;D56,"▲ over by "&amp;TEXT(E56-D56,"#,##0"),"✓ within budget")))</f>
        <v/>
      </c>
    </row>
    <row r="57" customFormat="false" ht="15" hidden="false" customHeight="false" outlineLevel="0" collapsed="false">
      <c r="B57" s="112" t="str">
        <f aca="false">IF(OR(N(TripDays)=0,6&gt;TripDays),"",6)</f>
        <v/>
      </c>
      <c r="C57" s="113" t="str">
        <f aca="false">IF(B57="","",TripStart+5)</f>
        <v/>
      </c>
      <c r="D57" s="105" t="str">
        <f aca="false">IF(B57="","",DailyBudget)</f>
        <v/>
      </c>
      <c r="E57" s="106" t="str">
        <f aca="false">IF(B57="","",SUMPRODUCT((Expenses!$N$6:$N$205=6)*Expenses!$S$6:$S$205*Expenses!$AS$6:$AS$205))</f>
        <v/>
      </c>
      <c r="F57" s="105" t="str">
        <f aca="false">IF(B57="","",SUMIFS(Expenses!$R$6:$R$205,Expenses!$N$6:$N$205,6,Expenses!$H$6:$H$205,"Paid"))</f>
        <v/>
      </c>
      <c r="G57" s="45" t="str">
        <f aca="false">IF(B57="","",IF(N(D57)=0,"",IF(E57&gt;D57,"▲ over by "&amp;TEXT(E57-D57,"#,##0"),"✓ within budget")))</f>
        <v/>
      </c>
    </row>
    <row r="58" customFormat="false" ht="15" hidden="false" customHeight="false" outlineLevel="0" collapsed="false">
      <c r="B58" s="112" t="str">
        <f aca="false">IF(OR(N(TripDays)=0,7&gt;TripDays),"",7)</f>
        <v/>
      </c>
      <c r="C58" s="113" t="str">
        <f aca="false">IF(B58="","",TripStart+6)</f>
        <v/>
      </c>
      <c r="D58" s="105" t="str">
        <f aca="false">IF(B58="","",DailyBudget)</f>
        <v/>
      </c>
      <c r="E58" s="106" t="str">
        <f aca="false">IF(B58="","",SUMPRODUCT((Expenses!$N$6:$N$205=7)*Expenses!$S$6:$S$205*Expenses!$AS$6:$AS$205))</f>
        <v/>
      </c>
      <c r="F58" s="105" t="str">
        <f aca="false">IF(B58="","",SUMIFS(Expenses!$R$6:$R$205,Expenses!$N$6:$N$205,7,Expenses!$H$6:$H$205,"Paid"))</f>
        <v/>
      </c>
      <c r="G58" s="45" t="str">
        <f aca="false">IF(B58="","",IF(N(D58)=0,"",IF(E58&gt;D58,"▲ over by "&amp;TEXT(E58-D58,"#,##0"),"✓ within budget")))</f>
        <v/>
      </c>
    </row>
    <row r="59" customFormat="false" ht="15" hidden="false" customHeight="false" outlineLevel="0" collapsed="false">
      <c r="B59" s="112" t="str">
        <f aca="false">IF(OR(N(TripDays)=0,8&gt;TripDays),"",8)</f>
        <v/>
      </c>
      <c r="C59" s="113" t="str">
        <f aca="false">IF(B59="","",TripStart+7)</f>
        <v/>
      </c>
      <c r="D59" s="105" t="str">
        <f aca="false">IF(B59="","",DailyBudget)</f>
        <v/>
      </c>
      <c r="E59" s="106" t="str">
        <f aca="false">IF(B59="","",SUMPRODUCT((Expenses!$N$6:$N$205=8)*Expenses!$S$6:$S$205*Expenses!$AS$6:$AS$205))</f>
        <v/>
      </c>
      <c r="F59" s="105" t="str">
        <f aca="false">IF(B59="","",SUMIFS(Expenses!$R$6:$R$205,Expenses!$N$6:$N$205,8,Expenses!$H$6:$H$205,"Paid"))</f>
        <v/>
      </c>
      <c r="G59" s="45" t="str">
        <f aca="false">IF(B59="","",IF(N(D59)=0,"",IF(E59&gt;D59,"▲ over by "&amp;TEXT(E59-D59,"#,##0"),"✓ within budget")))</f>
        <v/>
      </c>
    </row>
    <row r="60" customFormat="false" ht="15" hidden="false" customHeight="false" outlineLevel="0" collapsed="false">
      <c r="B60" s="112" t="str">
        <f aca="false">IF(OR(N(TripDays)=0,9&gt;TripDays),"",9)</f>
        <v/>
      </c>
      <c r="C60" s="113" t="str">
        <f aca="false">IF(B60="","",TripStart+8)</f>
        <v/>
      </c>
      <c r="D60" s="105" t="str">
        <f aca="false">IF(B60="","",DailyBudget)</f>
        <v/>
      </c>
      <c r="E60" s="106" t="str">
        <f aca="false">IF(B60="","",SUMPRODUCT((Expenses!$N$6:$N$205=9)*Expenses!$S$6:$S$205*Expenses!$AS$6:$AS$205))</f>
        <v/>
      </c>
      <c r="F60" s="105" t="str">
        <f aca="false">IF(B60="","",SUMIFS(Expenses!$R$6:$R$205,Expenses!$N$6:$N$205,9,Expenses!$H$6:$H$205,"Paid"))</f>
        <v/>
      </c>
      <c r="G60" s="45" t="str">
        <f aca="false">IF(B60="","",IF(N(D60)=0,"",IF(E60&gt;D60,"▲ over by "&amp;TEXT(E60-D60,"#,##0"),"✓ within budget")))</f>
        <v/>
      </c>
    </row>
    <row r="61" customFormat="false" ht="15" hidden="false" customHeight="false" outlineLevel="0" collapsed="false">
      <c r="B61" s="112" t="str">
        <f aca="false">IF(OR(N(TripDays)=0,10&gt;TripDays),"",10)</f>
        <v/>
      </c>
      <c r="C61" s="113" t="str">
        <f aca="false">IF(B61="","",TripStart+9)</f>
        <v/>
      </c>
      <c r="D61" s="105" t="str">
        <f aca="false">IF(B61="","",DailyBudget)</f>
        <v/>
      </c>
      <c r="E61" s="106" t="str">
        <f aca="false">IF(B61="","",SUMPRODUCT((Expenses!$N$6:$N$205=10)*Expenses!$S$6:$S$205*Expenses!$AS$6:$AS$205))</f>
        <v/>
      </c>
      <c r="F61" s="105" t="str">
        <f aca="false">IF(B61="","",SUMIFS(Expenses!$R$6:$R$205,Expenses!$N$6:$N$205,10,Expenses!$H$6:$H$205,"Paid"))</f>
        <v/>
      </c>
      <c r="G61" s="45" t="str">
        <f aca="false">IF(B61="","",IF(N(D61)=0,"",IF(E61&gt;D61,"▲ over by "&amp;TEXT(E61-D61,"#,##0"),"✓ within budget")))</f>
        <v/>
      </c>
    </row>
    <row r="62" customFormat="false" ht="15" hidden="false" customHeight="false" outlineLevel="0" collapsed="false">
      <c r="B62" s="112" t="str">
        <f aca="false">IF(OR(N(TripDays)=0,11&gt;TripDays),"",11)</f>
        <v/>
      </c>
      <c r="C62" s="113" t="str">
        <f aca="false">IF(B62="","",TripStart+10)</f>
        <v/>
      </c>
      <c r="D62" s="105" t="str">
        <f aca="false">IF(B62="","",DailyBudget)</f>
        <v/>
      </c>
      <c r="E62" s="106" t="str">
        <f aca="false">IF(B62="","",SUMPRODUCT((Expenses!$N$6:$N$205=11)*Expenses!$S$6:$S$205*Expenses!$AS$6:$AS$205))</f>
        <v/>
      </c>
      <c r="F62" s="105" t="str">
        <f aca="false">IF(B62="","",SUMIFS(Expenses!$R$6:$R$205,Expenses!$N$6:$N$205,11,Expenses!$H$6:$H$205,"Paid"))</f>
        <v/>
      </c>
      <c r="G62" s="45" t="str">
        <f aca="false">IF(B62="","",IF(N(D62)=0,"",IF(E62&gt;D62,"▲ over by "&amp;TEXT(E62-D62,"#,##0"),"✓ within budget")))</f>
        <v/>
      </c>
    </row>
    <row r="63" customFormat="false" ht="15" hidden="false" customHeight="false" outlineLevel="0" collapsed="false">
      <c r="B63" s="112" t="str">
        <f aca="false">IF(OR(N(TripDays)=0,12&gt;TripDays),"",12)</f>
        <v/>
      </c>
      <c r="C63" s="113" t="str">
        <f aca="false">IF(B63="","",TripStart+11)</f>
        <v/>
      </c>
      <c r="D63" s="105" t="str">
        <f aca="false">IF(B63="","",DailyBudget)</f>
        <v/>
      </c>
      <c r="E63" s="106" t="str">
        <f aca="false">IF(B63="","",SUMPRODUCT((Expenses!$N$6:$N$205=12)*Expenses!$S$6:$S$205*Expenses!$AS$6:$AS$205))</f>
        <v/>
      </c>
      <c r="F63" s="105" t="str">
        <f aca="false">IF(B63="","",SUMIFS(Expenses!$R$6:$R$205,Expenses!$N$6:$N$205,12,Expenses!$H$6:$H$205,"Paid"))</f>
        <v/>
      </c>
      <c r="G63" s="45" t="str">
        <f aca="false">IF(B63="","",IF(N(D63)=0,"",IF(E63&gt;D63,"▲ over by "&amp;TEXT(E63-D63,"#,##0"),"✓ within budget")))</f>
        <v/>
      </c>
    </row>
    <row r="64" customFormat="false" ht="15" hidden="false" customHeight="false" outlineLevel="0" collapsed="false">
      <c r="B64" s="112" t="str">
        <f aca="false">IF(OR(N(TripDays)=0,13&gt;TripDays),"",13)</f>
        <v/>
      </c>
      <c r="C64" s="113" t="str">
        <f aca="false">IF(B64="","",TripStart+12)</f>
        <v/>
      </c>
      <c r="D64" s="105" t="str">
        <f aca="false">IF(B64="","",DailyBudget)</f>
        <v/>
      </c>
      <c r="E64" s="106" t="str">
        <f aca="false">IF(B64="","",SUMPRODUCT((Expenses!$N$6:$N$205=13)*Expenses!$S$6:$S$205*Expenses!$AS$6:$AS$205))</f>
        <v/>
      </c>
      <c r="F64" s="105" t="str">
        <f aca="false">IF(B64="","",SUMIFS(Expenses!$R$6:$R$205,Expenses!$N$6:$N$205,13,Expenses!$H$6:$H$205,"Paid"))</f>
        <v/>
      </c>
      <c r="G64" s="45" t="str">
        <f aca="false">IF(B64="","",IF(N(D64)=0,"",IF(E64&gt;D64,"▲ over by "&amp;TEXT(E64-D64,"#,##0"),"✓ within budget")))</f>
        <v/>
      </c>
    </row>
    <row r="65" customFormat="false" ht="15" hidden="false" customHeight="false" outlineLevel="0" collapsed="false">
      <c r="B65" s="112" t="str">
        <f aca="false">IF(OR(N(TripDays)=0,14&gt;TripDays),"",14)</f>
        <v/>
      </c>
      <c r="C65" s="113" t="str">
        <f aca="false">IF(B65="","",TripStart+13)</f>
        <v/>
      </c>
      <c r="D65" s="105" t="str">
        <f aca="false">IF(B65="","",DailyBudget)</f>
        <v/>
      </c>
      <c r="E65" s="106" t="str">
        <f aca="false">IF(B65="","",SUMPRODUCT((Expenses!$N$6:$N$205=14)*Expenses!$S$6:$S$205*Expenses!$AS$6:$AS$205))</f>
        <v/>
      </c>
      <c r="F65" s="105" t="str">
        <f aca="false">IF(B65="","",SUMIFS(Expenses!$R$6:$R$205,Expenses!$N$6:$N$205,14,Expenses!$H$6:$H$205,"Paid"))</f>
        <v/>
      </c>
      <c r="G65" s="45" t="str">
        <f aca="false">IF(B65="","",IF(N(D65)=0,"",IF(E65&gt;D65,"▲ over by "&amp;TEXT(E65-D65,"#,##0"),"✓ within budget")))</f>
        <v/>
      </c>
    </row>
    <row r="66" customFormat="false" ht="15" hidden="false" customHeight="false" outlineLevel="0" collapsed="false">
      <c r="B66" s="112" t="str">
        <f aca="false">IF(OR(N(TripDays)=0,15&gt;TripDays),"",15)</f>
        <v/>
      </c>
      <c r="C66" s="113" t="str">
        <f aca="false">IF(B66="","",TripStart+14)</f>
        <v/>
      </c>
      <c r="D66" s="105" t="str">
        <f aca="false">IF(B66="","",DailyBudget)</f>
        <v/>
      </c>
      <c r="E66" s="106" t="str">
        <f aca="false">IF(B66="","",SUMPRODUCT((Expenses!$N$6:$N$205=15)*Expenses!$S$6:$S$205*Expenses!$AS$6:$AS$205))</f>
        <v/>
      </c>
      <c r="F66" s="105" t="str">
        <f aca="false">IF(B66="","",SUMIFS(Expenses!$R$6:$R$205,Expenses!$N$6:$N$205,15,Expenses!$H$6:$H$205,"Paid"))</f>
        <v/>
      </c>
      <c r="G66" s="45" t="str">
        <f aca="false">IF(B66="","",IF(N(D66)=0,"",IF(E66&gt;D66,"▲ over by "&amp;TEXT(E66-D66,"#,##0"),"✓ within budget")))</f>
        <v/>
      </c>
    </row>
    <row r="67" customFormat="false" ht="15" hidden="false" customHeight="false" outlineLevel="0" collapsed="false">
      <c r="B67" s="112" t="str">
        <f aca="false">IF(OR(N(TripDays)=0,16&gt;TripDays),"",16)</f>
        <v/>
      </c>
      <c r="C67" s="113" t="str">
        <f aca="false">IF(B67="","",TripStart+15)</f>
        <v/>
      </c>
      <c r="D67" s="105" t="str">
        <f aca="false">IF(B67="","",DailyBudget)</f>
        <v/>
      </c>
      <c r="E67" s="106" t="str">
        <f aca="false">IF(B67="","",SUMPRODUCT((Expenses!$N$6:$N$205=16)*Expenses!$S$6:$S$205*Expenses!$AS$6:$AS$205))</f>
        <v/>
      </c>
      <c r="F67" s="105" t="str">
        <f aca="false">IF(B67="","",SUMIFS(Expenses!$R$6:$R$205,Expenses!$N$6:$N$205,16,Expenses!$H$6:$H$205,"Paid"))</f>
        <v/>
      </c>
      <c r="G67" s="45" t="str">
        <f aca="false">IF(B67="","",IF(N(D67)=0,"",IF(E67&gt;D67,"▲ over by "&amp;TEXT(E67-D67,"#,##0"),"✓ within budget")))</f>
        <v/>
      </c>
    </row>
    <row r="68" customFormat="false" ht="15" hidden="false" customHeight="false" outlineLevel="0" collapsed="false">
      <c r="B68" s="112" t="str">
        <f aca="false">IF(OR(N(TripDays)=0,17&gt;TripDays),"",17)</f>
        <v/>
      </c>
      <c r="C68" s="113" t="str">
        <f aca="false">IF(B68="","",TripStart+16)</f>
        <v/>
      </c>
      <c r="D68" s="105" t="str">
        <f aca="false">IF(B68="","",DailyBudget)</f>
        <v/>
      </c>
      <c r="E68" s="106" t="str">
        <f aca="false">IF(B68="","",SUMPRODUCT((Expenses!$N$6:$N$205=17)*Expenses!$S$6:$S$205*Expenses!$AS$6:$AS$205))</f>
        <v/>
      </c>
      <c r="F68" s="105" t="str">
        <f aca="false">IF(B68="","",SUMIFS(Expenses!$R$6:$R$205,Expenses!$N$6:$N$205,17,Expenses!$H$6:$H$205,"Paid"))</f>
        <v/>
      </c>
      <c r="G68" s="45" t="str">
        <f aca="false">IF(B68="","",IF(N(D68)=0,"",IF(E68&gt;D68,"▲ over by "&amp;TEXT(E68-D68,"#,##0"),"✓ within budget")))</f>
        <v/>
      </c>
    </row>
    <row r="69" customFormat="false" ht="15" hidden="false" customHeight="false" outlineLevel="0" collapsed="false">
      <c r="B69" s="112" t="str">
        <f aca="false">IF(OR(N(TripDays)=0,18&gt;TripDays),"",18)</f>
        <v/>
      </c>
      <c r="C69" s="113" t="str">
        <f aca="false">IF(B69="","",TripStart+17)</f>
        <v/>
      </c>
      <c r="D69" s="105" t="str">
        <f aca="false">IF(B69="","",DailyBudget)</f>
        <v/>
      </c>
      <c r="E69" s="106" t="str">
        <f aca="false">IF(B69="","",SUMPRODUCT((Expenses!$N$6:$N$205=18)*Expenses!$S$6:$S$205*Expenses!$AS$6:$AS$205))</f>
        <v/>
      </c>
      <c r="F69" s="105" t="str">
        <f aca="false">IF(B69="","",SUMIFS(Expenses!$R$6:$R$205,Expenses!$N$6:$N$205,18,Expenses!$H$6:$H$205,"Paid"))</f>
        <v/>
      </c>
      <c r="G69" s="45" t="str">
        <f aca="false">IF(B69="","",IF(N(D69)=0,"",IF(E69&gt;D69,"▲ over by "&amp;TEXT(E69-D69,"#,##0"),"✓ within budget")))</f>
        <v/>
      </c>
    </row>
    <row r="70" customFormat="false" ht="15" hidden="false" customHeight="false" outlineLevel="0" collapsed="false">
      <c r="B70" s="112" t="str">
        <f aca="false">IF(OR(N(TripDays)=0,19&gt;TripDays),"",19)</f>
        <v/>
      </c>
      <c r="C70" s="113" t="str">
        <f aca="false">IF(B70="","",TripStart+18)</f>
        <v/>
      </c>
      <c r="D70" s="105" t="str">
        <f aca="false">IF(B70="","",DailyBudget)</f>
        <v/>
      </c>
      <c r="E70" s="106" t="str">
        <f aca="false">IF(B70="","",SUMPRODUCT((Expenses!$N$6:$N$205=19)*Expenses!$S$6:$S$205*Expenses!$AS$6:$AS$205))</f>
        <v/>
      </c>
      <c r="F70" s="105" t="str">
        <f aca="false">IF(B70="","",SUMIFS(Expenses!$R$6:$R$205,Expenses!$N$6:$N$205,19,Expenses!$H$6:$H$205,"Paid"))</f>
        <v/>
      </c>
      <c r="G70" s="45" t="str">
        <f aca="false">IF(B70="","",IF(N(D70)=0,"",IF(E70&gt;D70,"▲ over by "&amp;TEXT(E70-D70,"#,##0"),"✓ within budget")))</f>
        <v/>
      </c>
    </row>
    <row r="71" customFormat="false" ht="15" hidden="false" customHeight="false" outlineLevel="0" collapsed="false">
      <c r="B71" s="112" t="str">
        <f aca="false">IF(OR(N(TripDays)=0,20&gt;TripDays),"",20)</f>
        <v/>
      </c>
      <c r="C71" s="113" t="str">
        <f aca="false">IF(B71="","",TripStart+19)</f>
        <v/>
      </c>
      <c r="D71" s="105" t="str">
        <f aca="false">IF(B71="","",DailyBudget)</f>
        <v/>
      </c>
      <c r="E71" s="106" t="str">
        <f aca="false">IF(B71="","",SUMPRODUCT((Expenses!$N$6:$N$205=20)*Expenses!$S$6:$S$205*Expenses!$AS$6:$AS$205))</f>
        <v/>
      </c>
      <c r="F71" s="105" t="str">
        <f aca="false">IF(B71="","",SUMIFS(Expenses!$R$6:$R$205,Expenses!$N$6:$N$205,20,Expenses!$H$6:$H$205,"Paid"))</f>
        <v/>
      </c>
      <c r="G71" s="45" t="str">
        <f aca="false">IF(B71="","",IF(N(D71)=0,"",IF(E71&gt;D71,"▲ over by "&amp;TEXT(E71-D71,"#,##0"),"✓ within budget")))</f>
        <v/>
      </c>
    </row>
    <row r="72" customFormat="false" ht="15" hidden="false" customHeight="false" outlineLevel="0" collapsed="false">
      <c r="B72" s="112" t="str">
        <f aca="false">IF(OR(N(TripDays)=0,21&gt;TripDays),"",21)</f>
        <v/>
      </c>
      <c r="C72" s="113" t="str">
        <f aca="false">IF(B72="","",TripStart+20)</f>
        <v/>
      </c>
      <c r="D72" s="105" t="str">
        <f aca="false">IF(B72="","",DailyBudget)</f>
        <v/>
      </c>
      <c r="E72" s="106" t="str">
        <f aca="false">IF(B72="","",SUMPRODUCT((Expenses!$N$6:$N$205=21)*Expenses!$S$6:$S$205*Expenses!$AS$6:$AS$205))</f>
        <v/>
      </c>
      <c r="F72" s="105" t="str">
        <f aca="false">IF(B72="","",SUMIFS(Expenses!$R$6:$R$205,Expenses!$N$6:$N$205,21,Expenses!$H$6:$H$205,"Paid"))</f>
        <v/>
      </c>
      <c r="G72" s="45" t="str">
        <f aca="false">IF(B72="","",IF(N(D72)=0,"",IF(E72&gt;D72,"▲ over by "&amp;TEXT(E72-D72,"#,##0"),"✓ within budget")))</f>
        <v/>
      </c>
    </row>
    <row r="73" customFormat="false" ht="15" hidden="false" customHeight="false" outlineLevel="0" collapsed="false">
      <c r="B73" s="112" t="str">
        <f aca="false">IF(OR(N(TripDays)=0,22&gt;TripDays),"",22)</f>
        <v/>
      </c>
      <c r="C73" s="113" t="str">
        <f aca="false">IF(B73="","",TripStart+21)</f>
        <v/>
      </c>
      <c r="D73" s="105" t="str">
        <f aca="false">IF(B73="","",DailyBudget)</f>
        <v/>
      </c>
      <c r="E73" s="106" t="str">
        <f aca="false">IF(B73="","",SUMPRODUCT((Expenses!$N$6:$N$205=22)*Expenses!$S$6:$S$205*Expenses!$AS$6:$AS$205))</f>
        <v/>
      </c>
      <c r="F73" s="105" t="str">
        <f aca="false">IF(B73="","",SUMIFS(Expenses!$R$6:$R$205,Expenses!$N$6:$N$205,22,Expenses!$H$6:$H$205,"Paid"))</f>
        <v/>
      </c>
      <c r="G73" s="45" t="str">
        <f aca="false">IF(B73="","",IF(N(D73)=0,"",IF(E73&gt;D73,"▲ over by "&amp;TEXT(E73-D73,"#,##0"),"✓ within budget")))</f>
        <v/>
      </c>
    </row>
    <row r="74" customFormat="false" ht="15" hidden="false" customHeight="false" outlineLevel="0" collapsed="false">
      <c r="B74" s="112" t="str">
        <f aca="false">IF(OR(N(TripDays)=0,23&gt;TripDays),"",23)</f>
        <v/>
      </c>
      <c r="C74" s="113" t="str">
        <f aca="false">IF(B74="","",TripStart+22)</f>
        <v/>
      </c>
      <c r="D74" s="105" t="str">
        <f aca="false">IF(B74="","",DailyBudget)</f>
        <v/>
      </c>
      <c r="E74" s="106" t="str">
        <f aca="false">IF(B74="","",SUMPRODUCT((Expenses!$N$6:$N$205=23)*Expenses!$S$6:$S$205*Expenses!$AS$6:$AS$205))</f>
        <v/>
      </c>
      <c r="F74" s="105" t="str">
        <f aca="false">IF(B74="","",SUMIFS(Expenses!$R$6:$R$205,Expenses!$N$6:$N$205,23,Expenses!$H$6:$H$205,"Paid"))</f>
        <v/>
      </c>
      <c r="G74" s="45" t="str">
        <f aca="false">IF(B74="","",IF(N(D74)=0,"",IF(E74&gt;D74,"▲ over by "&amp;TEXT(E74-D74,"#,##0"),"✓ within budget")))</f>
        <v/>
      </c>
    </row>
    <row r="75" customFormat="false" ht="15" hidden="false" customHeight="false" outlineLevel="0" collapsed="false">
      <c r="B75" s="112" t="str">
        <f aca="false">IF(OR(N(TripDays)=0,24&gt;TripDays),"",24)</f>
        <v/>
      </c>
      <c r="C75" s="113" t="str">
        <f aca="false">IF(B75="","",TripStart+23)</f>
        <v/>
      </c>
      <c r="D75" s="105" t="str">
        <f aca="false">IF(B75="","",DailyBudget)</f>
        <v/>
      </c>
      <c r="E75" s="106" t="str">
        <f aca="false">IF(B75="","",SUMPRODUCT((Expenses!$N$6:$N$205=24)*Expenses!$S$6:$S$205*Expenses!$AS$6:$AS$205))</f>
        <v/>
      </c>
      <c r="F75" s="105" t="str">
        <f aca="false">IF(B75="","",SUMIFS(Expenses!$R$6:$R$205,Expenses!$N$6:$N$205,24,Expenses!$H$6:$H$205,"Paid"))</f>
        <v/>
      </c>
      <c r="G75" s="45" t="str">
        <f aca="false">IF(B75="","",IF(N(D75)=0,"",IF(E75&gt;D75,"▲ over by "&amp;TEXT(E75-D75,"#,##0"),"✓ within budget")))</f>
        <v/>
      </c>
    </row>
    <row r="76" customFormat="false" ht="15" hidden="false" customHeight="false" outlineLevel="0" collapsed="false">
      <c r="B76" s="112" t="str">
        <f aca="false">IF(OR(N(TripDays)=0,25&gt;TripDays),"",25)</f>
        <v/>
      </c>
      <c r="C76" s="113" t="str">
        <f aca="false">IF(B76="","",TripStart+24)</f>
        <v/>
      </c>
      <c r="D76" s="105" t="str">
        <f aca="false">IF(B76="","",DailyBudget)</f>
        <v/>
      </c>
      <c r="E76" s="106" t="str">
        <f aca="false">IF(B76="","",SUMPRODUCT((Expenses!$N$6:$N$205=25)*Expenses!$S$6:$S$205*Expenses!$AS$6:$AS$205))</f>
        <v/>
      </c>
      <c r="F76" s="105" t="str">
        <f aca="false">IF(B76="","",SUMIFS(Expenses!$R$6:$R$205,Expenses!$N$6:$N$205,25,Expenses!$H$6:$H$205,"Paid"))</f>
        <v/>
      </c>
      <c r="G76" s="45" t="str">
        <f aca="false">IF(B76="","",IF(N(D76)=0,"",IF(E76&gt;D76,"▲ over by "&amp;TEXT(E76-D76,"#,##0"),"✓ within budget")))</f>
        <v/>
      </c>
    </row>
    <row r="77" customFormat="false" ht="15" hidden="false" customHeight="false" outlineLevel="0" collapsed="false">
      <c r="B77" s="112" t="str">
        <f aca="false">IF(OR(N(TripDays)=0,26&gt;TripDays),"",26)</f>
        <v/>
      </c>
      <c r="C77" s="113" t="str">
        <f aca="false">IF(B77="","",TripStart+25)</f>
        <v/>
      </c>
      <c r="D77" s="105" t="str">
        <f aca="false">IF(B77="","",DailyBudget)</f>
        <v/>
      </c>
      <c r="E77" s="106" t="str">
        <f aca="false">IF(B77="","",SUMPRODUCT((Expenses!$N$6:$N$205=26)*Expenses!$S$6:$S$205*Expenses!$AS$6:$AS$205))</f>
        <v/>
      </c>
      <c r="F77" s="105" t="str">
        <f aca="false">IF(B77="","",SUMIFS(Expenses!$R$6:$R$205,Expenses!$N$6:$N$205,26,Expenses!$H$6:$H$205,"Paid"))</f>
        <v/>
      </c>
      <c r="G77" s="45" t="str">
        <f aca="false">IF(B77="","",IF(N(D77)=0,"",IF(E77&gt;D77,"▲ over by "&amp;TEXT(E77-D77,"#,##0"),"✓ within budget")))</f>
        <v/>
      </c>
    </row>
    <row r="78" customFormat="false" ht="15" hidden="false" customHeight="false" outlineLevel="0" collapsed="false">
      <c r="B78" s="112" t="str">
        <f aca="false">IF(OR(N(TripDays)=0,27&gt;TripDays),"",27)</f>
        <v/>
      </c>
      <c r="C78" s="113" t="str">
        <f aca="false">IF(B78="","",TripStart+26)</f>
        <v/>
      </c>
      <c r="D78" s="105" t="str">
        <f aca="false">IF(B78="","",DailyBudget)</f>
        <v/>
      </c>
      <c r="E78" s="106" t="str">
        <f aca="false">IF(B78="","",SUMPRODUCT((Expenses!$N$6:$N$205=27)*Expenses!$S$6:$S$205*Expenses!$AS$6:$AS$205))</f>
        <v/>
      </c>
      <c r="F78" s="105" t="str">
        <f aca="false">IF(B78="","",SUMIFS(Expenses!$R$6:$R$205,Expenses!$N$6:$N$205,27,Expenses!$H$6:$H$205,"Paid"))</f>
        <v/>
      </c>
      <c r="G78" s="45" t="str">
        <f aca="false">IF(B78="","",IF(N(D78)=0,"",IF(E78&gt;D78,"▲ over by "&amp;TEXT(E78-D78,"#,##0"),"✓ within budget")))</f>
        <v/>
      </c>
    </row>
    <row r="79" customFormat="false" ht="15" hidden="false" customHeight="false" outlineLevel="0" collapsed="false">
      <c r="B79" s="112" t="str">
        <f aca="false">IF(OR(N(TripDays)=0,28&gt;TripDays),"",28)</f>
        <v/>
      </c>
      <c r="C79" s="113" t="str">
        <f aca="false">IF(B79="","",TripStart+27)</f>
        <v/>
      </c>
      <c r="D79" s="105" t="str">
        <f aca="false">IF(B79="","",DailyBudget)</f>
        <v/>
      </c>
      <c r="E79" s="106" t="str">
        <f aca="false">IF(B79="","",SUMPRODUCT((Expenses!$N$6:$N$205=28)*Expenses!$S$6:$S$205*Expenses!$AS$6:$AS$205))</f>
        <v/>
      </c>
      <c r="F79" s="105" t="str">
        <f aca="false">IF(B79="","",SUMIFS(Expenses!$R$6:$R$205,Expenses!$N$6:$N$205,28,Expenses!$H$6:$H$205,"Paid"))</f>
        <v/>
      </c>
      <c r="G79" s="45" t="str">
        <f aca="false">IF(B79="","",IF(N(D79)=0,"",IF(E79&gt;D79,"▲ over by "&amp;TEXT(E79-D79,"#,##0"),"✓ within budget")))</f>
        <v/>
      </c>
    </row>
    <row r="80" customFormat="false" ht="15" hidden="false" customHeight="false" outlineLevel="0" collapsed="false">
      <c r="B80" s="112" t="str">
        <f aca="false">IF(OR(N(TripDays)=0,29&gt;TripDays),"",29)</f>
        <v/>
      </c>
      <c r="C80" s="113" t="str">
        <f aca="false">IF(B80="","",TripStart+28)</f>
        <v/>
      </c>
      <c r="D80" s="105" t="str">
        <f aca="false">IF(B80="","",DailyBudget)</f>
        <v/>
      </c>
      <c r="E80" s="106" t="str">
        <f aca="false">IF(B80="","",SUMPRODUCT((Expenses!$N$6:$N$205=29)*Expenses!$S$6:$S$205*Expenses!$AS$6:$AS$205))</f>
        <v/>
      </c>
      <c r="F80" s="105" t="str">
        <f aca="false">IF(B80="","",SUMIFS(Expenses!$R$6:$R$205,Expenses!$N$6:$N$205,29,Expenses!$H$6:$H$205,"Paid"))</f>
        <v/>
      </c>
      <c r="G80" s="45" t="str">
        <f aca="false">IF(B80="","",IF(N(D80)=0,"",IF(E80&gt;D80,"▲ over by "&amp;TEXT(E80-D80,"#,##0"),"✓ within budget")))</f>
        <v/>
      </c>
    </row>
    <row r="81" customFormat="false" ht="15" hidden="false" customHeight="false" outlineLevel="0" collapsed="false">
      <c r="B81" s="112" t="str">
        <f aca="false">IF(OR(N(TripDays)=0,30&gt;TripDays),"",30)</f>
        <v/>
      </c>
      <c r="C81" s="113" t="str">
        <f aca="false">IF(B81="","",TripStart+29)</f>
        <v/>
      </c>
      <c r="D81" s="105" t="str">
        <f aca="false">IF(B81="","",DailyBudget)</f>
        <v/>
      </c>
      <c r="E81" s="106" t="str">
        <f aca="false">IF(B81="","",SUMPRODUCT((Expenses!$N$6:$N$205=30)*Expenses!$S$6:$S$205*Expenses!$AS$6:$AS$205))</f>
        <v/>
      </c>
      <c r="F81" s="105" t="str">
        <f aca="false">IF(B81="","",SUMIFS(Expenses!$R$6:$R$205,Expenses!$N$6:$N$205,30,Expenses!$H$6:$H$205,"Paid"))</f>
        <v/>
      </c>
      <c r="G81" s="45" t="str">
        <f aca="false">IF(B81="","",IF(N(D81)=0,"",IF(E81&gt;D81,"▲ over by "&amp;TEXT(E81-D81,"#,##0"),"✓ within budget")))</f>
        <v/>
      </c>
    </row>
    <row r="82" customFormat="false" ht="15" hidden="false" customHeight="false" outlineLevel="0" collapsed="false">
      <c r="B82" s="41" t="s">
        <v>223</v>
      </c>
    </row>
  </sheetData>
  <sheetProtection sheet="true" password="ecf5" formatRows="false"/>
  <mergeCells count="59">
    <mergeCell ref="B1:M1"/>
    <mergeCell ref="B2:M2"/>
    <mergeCell ref="B3:M3"/>
    <mergeCell ref="C4:D4"/>
    <mergeCell ref="B6:C6"/>
    <mergeCell ref="D6:E6"/>
    <mergeCell ref="F6:G6"/>
    <mergeCell ref="H6:I6"/>
    <mergeCell ref="J6:K6"/>
    <mergeCell ref="L6:M6"/>
    <mergeCell ref="B7:C7"/>
    <mergeCell ref="D7:E7"/>
    <mergeCell ref="F7:G7"/>
    <mergeCell ref="H7:I7"/>
    <mergeCell ref="J7:K7"/>
    <mergeCell ref="L7:M7"/>
    <mergeCell ref="B8:C8"/>
    <mergeCell ref="D8:E8"/>
    <mergeCell ref="F8:G8"/>
    <mergeCell ref="H8:I8"/>
    <mergeCell ref="J8:K8"/>
    <mergeCell ref="L8:M8"/>
    <mergeCell ref="B9:M9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B41:H41"/>
    <mergeCell ref="B42:H42"/>
    <mergeCell ref="B43:H43"/>
    <mergeCell ref="B44:H44"/>
    <mergeCell ref="B45:H45"/>
    <mergeCell ref="B46:H46"/>
    <mergeCell ref="B47:H47"/>
    <mergeCell ref="J47:L47"/>
    <mergeCell ref="J48:L48"/>
    <mergeCell ref="J49:L49"/>
  </mergeCells>
  <conditionalFormatting sqref="L7">
    <cfRule type="expression" priority="2" aboveAverage="0" equalAverage="0" bottom="0" percent="0" rank="0" text="" dxfId="4">
      <formula>ISNUMBER(SEARCH("Over",L7))</formula>
    </cfRule>
    <cfRule type="expression" priority="3" aboveAverage="0" equalAverage="0" bottom="0" percent="0" rank="0" text="" dxfId="10">
      <formula>ISNUMBER(SEARCH("Tight",L7))</formula>
    </cfRule>
    <cfRule type="expression" priority="4" aboveAverage="0" equalAverage="0" bottom="0" percent="0" rank="0" text="" dxfId="9">
      <formula>OR(ISNUMBER(SEARCH("track",L7)),ISNUMBER(SEARCH("Gets",L7)),ISNUMBER(SEARCH("Settled",L7)))</formula>
    </cfRule>
    <cfRule type="expression" priority="5" aboveAverage="0" equalAverage="0" bottom="0" percent="0" rank="0" text="" dxfId="4">
      <formula>ISNUMBER(SEARCH("Owes",L7))</formula>
    </cfRule>
  </conditionalFormatting>
  <conditionalFormatting sqref="B9">
    <cfRule type="expression" priority="6" aboveAverage="0" equalAverage="0" bottom="0" percent="0" rank="0" text="" dxfId="11">
      <formula>AND(N(B7)&gt;0,D7&gt;B7)</formula>
    </cfRule>
  </conditionalFormatting>
  <conditionalFormatting sqref="E13:E38">
    <cfRule type="expression" priority="7" aboveAverage="0" equalAverage="0" bottom="0" percent="0" rank="0" text="" dxfId="3">
      <formula>AND(ISNUMBER(E13),E13&lt;0)</formula>
    </cfRule>
  </conditionalFormatting>
  <conditionalFormatting sqref="F13:F37">
    <cfRule type="expression" priority="8" aboveAverage="0" equalAverage="0" bottom="0" percent="0" rank="0" text="" dxfId="11">
      <formula>AND(ISNUMBER(H13),H13&gt;1)</formula>
    </cfRule>
    <cfRule type="expression" priority="9" aboveAverage="0" equalAverage="0" bottom="0" percent="0" rank="0" text="" dxfId="12">
      <formula>AND(ISNUMBER(H13),H13&gt;0.85,H13&lt;=1)</formula>
    </cfRule>
  </conditionalFormatting>
  <conditionalFormatting sqref="H13:H37">
    <cfRule type="expression" priority="10" aboveAverage="0" equalAverage="0" bottom="0" percent="0" rank="0" text="" dxfId="4">
      <formula>AND(ISNUMBER(H13),H13&gt;1)</formula>
    </cfRule>
  </conditionalFormatting>
  <conditionalFormatting sqref="B41:B47">
    <cfRule type="expression" priority="11" aboveAverage="0" equalAverage="0" bottom="0" percent="0" rank="0" text="" dxfId="3">
      <formula>LEFT(B41,1)="⚠"</formula>
    </cfRule>
    <cfRule type="expression" priority="12" aboveAverage="0" equalAverage="0" bottom="0" percent="0" rank="0" text="" dxfId="13">
      <formula>LEFT(B41,1)="✓"</formula>
    </cfRule>
  </conditionalFormatting>
  <conditionalFormatting sqref="G52:G81">
    <cfRule type="expression" priority="13" aboveAverage="0" equalAverage="0" bottom="0" percent="0" rank="0" text="" dxfId="4">
      <formula>LEFT(G52,1)="▲"</formula>
    </cfRule>
    <cfRule type="expression" priority="14" aboveAverage="0" equalAverage="0" bottom="0" percent="0" rank="0" text="" dxfId="13">
      <formula>LEFT(G52,1)="✓"</formula>
    </cfRule>
  </conditionalFormatting>
  <conditionalFormatting sqref="E52:E81">
    <cfRule type="colorScale" priority="15">
      <colorScale>
        <cfvo type="min" val="0"/>
        <cfvo type="max" val="0"/>
        <color rgb="FFFFFFFF"/>
        <color rgb="FFF9C4B8"/>
      </colorScale>
    </cfRule>
  </conditionalFormatting>
  <dataValidations count="1">
    <dataValidation allowBlank="true" error="Please pick from the list (click the ▼ arrow)." errorStyle="stop" errorTitle="Pick from the list" operator="between" prompt="See the whole trip, or one traveller's share." promptTitle="View" showDropDown="false" showErrorMessage="true" showInputMessage="true" sqref="C4" type="list">
      <formula1>ViewList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71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0"/>
    <col collapsed="false" customWidth="true" hidden="false" outlineLevel="0" max="3" min="3" style="0" width="14"/>
    <col collapsed="false" customWidth="true" hidden="false" outlineLevel="0" max="4" min="4" style="0" width="15"/>
    <col collapsed="false" customWidth="true" hidden="false" outlineLevel="0" max="5" min="5" style="0" width="14"/>
    <col collapsed="false" customWidth="true" hidden="false" outlineLevel="0" max="8" min="6" style="0" width="13"/>
    <col collapsed="false" customWidth="true" hidden="false" outlineLevel="0" max="12" min="9" style="0" width="12"/>
  </cols>
  <sheetData>
    <row r="1" customFormat="false" ht="33.75" hidden="false" customHeight="true" outlineLevel="0" collapsed="false">
      <c r="A1" s="16" t="s">
        <v>58</v>
      </c>
      <c r="B1" s="17" t="s">
        <v>224</v>
      </c>
    </row>
    <row r="2" customFormat="false" ht="15" hidden="false" customHeight="false" outlineLevel="0" collapsed="false">
      <c r="B2" s="18" t="s">
        <v>225</v>
      </c>
    </row>
    <row r="4" customFormat="false" ht="15" hidden="false" customHeight="false" outlineLevel="0" collapsed="false">
      <c r="B4" s="91" t="s">
        <v>226</v>
      </c>
      <c r="C4" s="23" t="s">
        <v>92</v>
      </c>
      <c r="D4" s="18" t="s">
        <v>227</v>
      </c>
    </row>
    <row r="6" customFormat="false" ht="30" hidden="false" customHeight="true" outlineLevel="0" collapsed="false">
      <c r="B6" s="22" t="s">
        <v>184</v>
      </c>
      <c r="C6" s="22" t="s">
        <v>228</v>
      </c>
      <c r="D6" s="114" t="str">
        <f aca="false">"Trip share ("&amp;HomeCcy&amp;")"</f>
        <v>Trip share (INR)</v>
      </c>
      <c r="E6" s="22" t="s">
        <v>229</v>
      </c>
      <c r="F6" s="22" t="s">
        <v>230</v>
      </c>
      <c r="G6" s="22" t="s">
        <v>231</v>
      </c>
      <c r="H6" s="22" t="s">
        <v>170</v>
      </c>
    </row>
    <row r="7" customFormat="false" ht="15" hidden="false" customHeight="false" outlineLevel="0" collapsed="false">
      <c r="B7" s="78" t="str">
        <f aca="false">Setup!$B$18&amp;""</f>
        <v/>
      </c>
      <c r="C7" s="26" t="str">
        <f aca="false">IF(B7="","",IF(Setup!$C$18="","—",Setup!$C$18))</f>
        <v/>
      </c>
      <c r="D7" s="34" t="str">
        <f aca="false">IF(B7="","",SUMPRODUCT(Expenses!$S$6:$S$205,Expenses!$AE$6:$AE$205/Expenses!$AO$6:$AO$205))</f>
        <v/>
      </c>
      <c r="E7" s="34" t="str">
        <f aca="false">IF(B7="","",SUMPRODUCT(Expenses!$S$6:$S$205*Expenses!$AP$6:$AP$205,Expenses!$AE$6:$AE$205/Expenses!$AO$6:$AO$205))</f>
        <v/>
      </c>
      <c r="F7" s="34" t="str">
        <f aca="false">IF(B7="","",SUMPRODUCT((Expenses!$F$6:$F$205=B7)*Expenses!$S$6:$S$205*Expenses!$AP$6:$AP$205))</f>
        <v/>
      </c>
      <c r="G7" s="33" t="str">
        <f aca="false">IF(B7="","",F7-E7)</f>
        <v/>
      </c>
      <c r="H7" s="78" t="str">
        <f aca="false">IF(B7="","",IF(ABS(G7)&lt;1,"✓ Settled",IF(G7&gt;0,"▲ Gets back","▼ Owes")))</f>
        <v/>
      </c>
    </row>
    <row r="8" customFormat="false" ht="15" hidden="false" customHeight="false" outlineLevel="0" collapsed="false">
      <c r="B8" s="78" t="str">
        <f aca="false">Setup!$B$19&amp;""</f>
        <v/>
      </c>
      <c r="C8" s="26" t="str">
        <f aca="false">IF(B8="","",IF(Setup!$C$19="","—",Setup!$C$19))</f>
        <v/>
      </c>
      <c r="D8" s="34" t="str">
        <f aca="false">IF(B8="","",SUMPRODUCT(Expenses!$S$6:$S$205,Expenses!$AF$6:$AF$205/Expenses!$AO$6:$AO$205))</f>
        <v/>
      </c>
      <c r="E8" s="34" t="str">
        <f aca="false">IF(B8="","",SUMPRODUCT(Expenses!$S$6:$S$205*Expenses!$AP$6:$AP$205,Expenses!$AF$6:$AF$205/Expenses!$AO$6:$AO$205))</f>
        <v/>
      </c>
      <c r="F8" s="34" t="str">
        <f aca="false">IF(B8="","",SUMPRODUCT((Expenses!$F$6:$F$205=B8)*Expenses!$S$6:$S$205*Expenses!$AP$6:$AP$205))</f>
        <v/>
      </c>
      <c r="G8" s="33" t="str">
        <f aca="false">IF(B8="","",F8-E8)</f>
        <v/>
      </c>
      <c r="H8" s="78" t="str">
        <f aca="false">IF(B8="","",IF(ABS(G8)&lt;1,"✓ Settled",IF(G8&gt;0,"▲ Gets back","▼ Owes")))</f>
        <v/>
      </c>
    </row>
    <row r="9" customFormat="false" ht="15" hidden="false" customHeight="false" outlineLevel="0" collapsed="false">
      <c r="B9" s="78" t="str">
        <f aca="false">Setup!$B$20&amp;""</f>
        <v/>
      </c>
      <c r="C9" s="26" t="str">
        <f aca="false">IF(B9="","",IF(Setup!$C$20="","—",Setup!$C$20))</f>
        <v/>
      </c>
      <c r="D9" s="34" t="str">
        <f aca="false">IF(B9="","",SUMPRODUCT(Expenses!$S$6:$S$205,Expenses!$AG$6:$AG$205/Expenses!$AO$6:$AO$205))</f>
        <v/>
      </c>
      <c r="E9" s="34" t="str">
        <f aca="false">IF(B9="","",SUMPRODUCT(Expenses!$S$6:$S$205*Expenses!$AP$6:$AP$205,Expenses!$AG$6:$AG$205/Expenses!$AO$6:$AO$205))</f>
        <v/>
      </c>
      <c r="F9" s="34" t="str">
        <f aca="false">IF(B9="","",SUMPRODUCT((Expenses!$F$6:$F$205=B9)*Expenses!$S$6:$S$205*Expenses!$AP$6:$AP$205))</f>
        <v/>
      </c>
      <c r="G9" s="33" t="str">
        <f aca="false">IF(B9="","",F9-E9)</f>
        <v/>
      </c>
      <c r="H9" s="78" t="str">
        <f aca="false">IF(B9="","",IF(ABS(G9)&lt;1,"✓ Settled",IF(G9&gt;0,"▲ Gets back","▼ Owes")))</f>
        <v/>
      </c>
    </row>
    <row r="10" customFormat="false" ht="15" hidden="false" customHeight="false" outlineLevel="0" collapsed="false">
      <c r="B10" s="78" t="str">
        <f aca="false">Setup!$B$21&amp;""</f>
        <v/>
      </c>
      <c r="C10" s="26" t="str">
        <f aca="false">IF(B10="","",IF(Setup!$C$21="","—",Setup!$C$21))</f>
        <v/>
      </c>
      <c r="D10" s="34" t="str">
        <f aca="false">IF(B10="","",SUMPRODUCT(Expenses!$S$6:$S$205,Expenses!$AH$6:$AH$205/Expenses!$AO$6:$AO$205))</f>
        <v/>
      </c>
      <c r="E10" s="34" t="str">
        <f aca="false">IF(B10="","",SUMPRODUCT(Expenses!$S$6:$S$205*Expenses!$AP$6:$AP$205,Expenses!$AH$6:$AH$205/Expenses!$AO$6:$AO$205))</f>
        <v/>
      </c>
      <c r="F10" s="34" t="str">
        <f aca="false">IF(B10="","",SUMPRODUCT((Expenses!$F$6:$F$205=B10)*Expenses!$S$6:$S$205*Expenses!$AP$6:$AP$205))</f>
        <v/>
      </c>
      <c r="G10" s="33" t="str">
        <f aca="false">IF(B10="","",F10-E10)</f>
        <v/>
      </c>
      <c r="H10" s="78" t="str">
        <f aca="false">IF(B10="","",IF(ABS(G10)&lt;1,"✓ Settled",IF(G10&gt;0,"▲ Gets back","▼ Owes")))</f>
        <v/>
      </c>
    </row>
    <row r="11" customFormat="false" ht="15" hidden="false" customHeight="false" outlineLevel="0" collapsed="false">
      <c r="B11" s="78" t="str">
        <f aca="false">Setup!$B$22&amp;""</f>
        <v/>
      </c>
      <c r="C11" s="26" t="str">
        <f aca="false">IF(B11="","",IF(Setup!$C$22="","—",Setup!$C$22))</f>
        <v/>
      </c>
      <c r="D11" s="34" t="str">
        <f aca="false">IF(B11="","",SUMPRODUCT(Expenses!$S$6:$S$205,Expenses!$AI$6:$AI$205/Expenses!$AO$6:$AO$205))</f>
        <v/>
      </c>
      <c r="E11" s="34" t="str">
        <f aca="false">IF(B11="","",SUMPRODUCT(Expenses!$S$6:$S$205*Expenses!$AP$6:$AP$205,Expenses!$AI$6:$AI$205/Expenses!$AO$6:$AO$205))</f>
        <v/>
      </c>
      <c r="F11" s="34" t="str">
        <f aca="false">IF(B11="","",SUMPRODUCT((Expenses!$F$6:$F$205=B11)*Expenses!$S$6:$S$205*Expenses!$AP$6:$AP$205))</f>
        <v/>
      </c>
      <c r="G11" s="33" t="str">
        <f aca="false">IF(B11="","",F11-E11)</f>
        <v/>
      </c>
      <c r="H11" s="78" t="str">
        <f aca="false">IF(B11="","",IF(ABS(G11)&lt;1,"✓ Settled",IF(G11&gt;0,"▲ Gets back","▼ Owes")))</f>
        <v/>
      </c>
    </row>
    <row r="12" customFormat="false" ht="15" hidden="false" customHeight="false" outlineLevel="0" collapsed="false">
      <c r="B12" s="78" t="str">
        <f aca="false">Setup!$B$23&amp;""</f>
        <v/>
      </c>
      <c r="C12" s="26" t="str">
        <f aca="false">IF(B12="","",IF(Setup!$C$23="","—",Setup!$C$23))</f>
        <v/>
      </c>
      <c r="D12" s="34" t="str">
        <f aca="false">IF(B12="","",SUMPRODUCT(Expenses!$S$6:$S$205,Expenses!$AJ$6:$AJ$205/Expenses!$AO$6:$AO$205))</f>
        <v/>
      </c>
      <c r="E12" s="34" t="str">
        <f aca="false">IF(B12="","",SUMPRODUCT(Expenses!$S$6:$S$205*Expenses!$AP$6:$AP$205,Expenses!$AJ$6:$AJ$205/Expenses!$AO$6:$AO$205))</f>
        <v/>
      </c>
      <c r="F12" s="34" t="str">
        <f aca="false">IF(B12="","",SUMPRODUCT((Expenses!$F$6:$F$205=B12)*Expenses!$S$6:$S$205*Expenses!$AP$6:$AP$205))</f>
        <v/>
      </c>
      <c r="G12" s="33" t="str">
        <f aca="false">IF(B12="","",F12-E12)</f>
        <v/>
      </c>
      <c r="H12" s="78" t="str">
        <f aca="false">IF(B12="","",IF(ABS(G12)&lt;1,"✓ Settled",IF(G12&gt;0,"▲ Gets back","▼ Owes")))</f>
        <v/>
      </c>
    </row>
    <row r="13" customFormat="false" ht="15" hidden="false" customHeight="false" outlineLevel="0" collapsed="false">
      <c r="B13" s="78" t="str">
        <f aca="false">Setup!$B$24&amp;""</f>
        <v/>
      </c>
      <c r="C13" s="26" t="str">
        <f aca="false">IF(B13="","",IF(Setup!$C$24="","—",Setup!$C$24))</f>
        <v/>
      </c>
      <c r="D13" s="34" t="str">
        <f aca="false">IF(B13="","",SUMPRODUCT(Expenses!$S$6:$S$205,Expenses!$AK$6:$AK$205/Expenses!$AO$6:$AO$205))</f>
        <v/>
      </c>
      <c r="E13" s="34" t="str">
        <f aca="false">IF(B13="","",SUMPRODUCT(Expenses!$S$6:$S$205*Expenses!$AP$6:$AP$205,Expenses!$AK$6:$AK$205/Expenses!$AO$6:$AO$205))</f>
        <v/>
      </c>
      <c r="F13" s="34" t="str">
        <f aca="false">IF(B13="","",SUMPRODUCT((Expenses!$F$6:$F$205=B13)*Expenses!$S$6:$S$205*Expenses!$AP$6:$AP$205))</f>
        <v/>
      </c>
      <c r="G13" s="33" t="str">
        <f aca="false">IF(B13="","",F13-E13)</f>
        <v/>
      </c>
      <c r="H13" s="78" t="str">
        <f aca="false">IF(B13="","",IF(ABS(G13)&lt;1,"✓ Settled",IF(G13&gt;0,"▲ Gets back","▼ Owes")))</f>
        <v/>
      </c>
    </row>
    <row r="14" customFormat="false" ht="15" hidden="false" customHeight="false" outlineLevel="0" collapsed="false">
      <c r="B14" s="78" t="str">
        <f aca="false">Setup!$B$25&amp;""</f>
        <v/>
      </c>
      <c r="C14" s="26" t="str">
        <f aca="false">IF(B14="","",IF(Setup!$C$25="","—",Setup!$C$25))</f>
        <v/>
      </c>
      <c r="D14" s="34" t="str">
        <f aca="false">IF(B14="","",SUMPRODUCT(Expenses!$S$6:$S$205,Expenses!$AL$6:$AL$205/Expenses!$AO$6:$AO$205))</f>
        <v/>
      </c>
      <c r="E14" s="34" t="str">
        <f aca="false">IF(B14="","",SUMPRODUCT(Expenses!$S$6:$S$205*Expenses!$AP$6:$AP$205,Expenses!$AL$6:$AL$205/Expenses!$AO$6:$AO$205))</f>
        <v/>
      </c>
      <c r="F14" s="34" t="str">
        <f aca="false">IF(B14="","",SUMPRODUCT((Expenses!$F$6:$F$205=B14)*Expenses!$S$6:$S$205*Expenses!$AP$6:$AP$205))</f>
        <v/>
      </c>
      <c r="G14" s="33" t="str">
        <f aca="false">IF(B14="","",F14-E14)</f>
        <v/>
      </c>
      <c r="H14" s="78" t="str">
        <f aca="false">IF(B14="","",IF(ABS(G14)&lt;1,"✓ Settled",IF(G14&gt;0,"▲ Gets back","▼ Owes")))</f>
        <v/>
      </c>
    </row>
    <row r="15" customFormat="false" ht="15" hidden="false" customHeight="false" outlineLevel="0" collapsed="false">
      <c r="B15" s="78" t="str">
        <f aca="false">Setup!$B$26&amp;""</f>
        <v/>
      </c>
      <c r="C15" s="26" t="str">
        <f aca="false">IF(B15="","",IF(Setup!$C$26="","—",Setup!$C$26))</f>
        <v/>
      </c>
      <c r="D15" s="34" t="str">
        <f aca="false">IF(B15="","",SUMPRODUCT(Expenses!$S$6:$S$205,Expenses!$AM$6:$AM$205/Expenses!$AO$6:$AO$205))</f>
        <v/>
      </c>
      <c r="E15" s="34" t="str">
        <f aca="false">IF(B15="","",SUMPRODUCT(Expenses!$S$6:$S$205*Expenses!$AP$6:$AP$205,Expenses!$AM$6:$AM$205/Expenses!$AO$6:$AO$205))</f>
        <v/>
      </c>
      <c r="F15" s="34" t="str">
        <f aca="false">IF(B15="","",SUMPRODUCT((Expenses!$F$6:$F$205=B15)*Expenses!$S$6:$S$205*Expenses!$AP$6:$AP$205))</f>
        <v/>
      </c>
      <c r="G15" s="33" t="str">
        <f aca="false">IF(B15="","",F15-E15)</f>
        <v/>
      </c>
      <c r="H15" s="78" t="str">
        <f aca="false">IF(B15="","",IF(ABS(G15)&lt;1,"✓ Settled",IF(G15&gt;0,"▲ Gets back","▼ Owes")))</f>
        <v/>
      </c>
    </row>
    <row r="16" customFormat="false" ht="15" hidden="false" customHeight="false" outlineLevel="0" collapsed="false">
      <c r="B16" s="78" t="str">
        <f aca="false">Setup!$B$27&amp;""</f>
        <v/>
      </c>
      <c r="C16" s="26" t="str">
        <f aca="false">IF(B16="","",IF(Setup!$C$27="","—",Setup!$C$27))</f>
        <v/>
      </c>
      <c r="D16" s="34" t="str">
        <f aca="false">IF(B16="","",SUMPRODUCT(Expenses!$S$6:$S$205,Expenses!$AN$6:$AN$205/Expenses!$AO$6:$AO$205))</f>
        <v/>
      </c>
      <c r="E16" s="34" t="str">
        <f aca="false">IF(B16="","",SUMPRODUCT(Expenses!$S$6:$S$205*Expenses!$AP$6:$AP$205,Expenses!$AN$6:$AN$205/Expenses!$AO$6:$AO$205))</f>
        <v/>
      </c>
      <c r="F16" s="34" t="str">
        <f aca="false">IF(B16="","",SUMPRODUCT((Expenses!$F$6:$F$205=B16)*Expenses!$S$6:$S$205*Expenses!$AP$6:$AP$205))</f>
        <v/>
      </c>
      <c r="G16" s="33" t="str">
        <f aca="false">IF(B16="","",F16-E16)</f>
        <v/>
      </c>
      <c r="H16" s="78" t="str">
        <f aca="false">IF(B16="","",IF(ABS(G16)&lt;1,"✓ Settled",IF(G16&gt;0,"▲ Gets back","▼ Owes")))</f>
        <v/>
      </c>
    </row>
    <row r="17" customFormat="false" ht="15" hidden="false" customHeight="false" outlineLevel="0" collapsed="false">
      <c r="B17" s="10" t="s">
        <v>114</v>
      </c>
      <c r="D17" s="33" t="n">
        <f aca="false">SUM(D7:D16)</f>
        <v>0</v>
      </c>
      <c r="E17" s="33" t="n">
        <f aca="false">SUM(E7:E16)</f>
        <v>0</v>
      </c>
      <c r="F17" s="33" t="n">
        <f aca="false">SUM(F7:F16)</f>
        <v>0</v>
      </c>
      <c r="G17" s="33" t="n">
        <f aca="false">SUM(G7:G16)</f>
        <v>0</v>
      </c>
      <c r="H17" s="45" t="str">
        <f aca="false">IF(ABS(D17+SUM(Expenses!AQ6:AQ205)-SUM(Expenses!S6:S205))&lt;1,"✓ Adds up","⚠ Check splits")</f>
        <v>✓ Adds up</v>
      </c>
    </row>
    <row r="19" customFormat="false" ht="15" hidden="false" customHeight="false" outlineLevel="0" collapsed="false">
      <c r="B19" s="19" t="s">
        <v>232</v>
      </c>
    </row>
    <row r="20" customFormat="false" ht="30" hidden="false" customHeight="true" outlineLevel="0" collapsed="false">
      <c r="B20" s="22" t="s">
        <v>228</v>
      </c>
      <c r="C20" s="22" t="s">
        <v>92</v>
      </c>
      <c r="D20" s="22" t="s">
        <v>203</v>
      </c>
      <c r="E20" s="22" t="s">
        <v>229</v>
      </c>
      <c r="F20" s="22" t="s">
        <v>230</v>
      </c>
      <c r="G20" s="22" t="s">
        <v>231</v>
      </c>
      <c r="H20" s="22" t="s">
        <v>170</v>
      </c>
    </row>
    <row r="21" customFormat="false" ht="15" hidden="false" customHeight="false" outlineLevel="0" collapsed="false">
      <c r="B21" s="78" t="str">
        <f aca="false">Setup!$G$18&amp;""</f>
        <v/>
      </c>
      <c r="C21" s="25" t="str">
        <f aca="false">IF(B21="","",COUNTIF($C$7:$C$16,B21))</f>
        <v/>
      </c>
      <c r="D21" s="34" t="str">
        <f aca="false">IF(B21="","",SUMIF($C$7:$C$16,B21,D$7:D$16))</f>
        <v/>
      </c>
      <c r="E21" s="34" t="str">
        <f aca="false">IF(B21="","",SUMIF($C$7:$C$16,B21,E$7:E$16))</f>
        <v/>
      </c>
      <c r="F21" s="34" t="str">
        <f aca="false">IF(B21="","",SUMIF($C$7:$C$16,B21,F$7:F$16))</f>
        <v/>
      </c>
      <c r="G21" s="33" t="str">
        <f aca="false">IF(B21="","",SUMIF($C$7:$C$16,B21,G$7:G$16))</f>
        <v/>
      </c>
      <c r="H21" s="78" t="str">
        <f aca="false">IF(B21="","",IF(ABS(G21)&lt;1,"✓ Settled",IF(G21&gt;0,"▲ Gets back","▼ Owes")))</f>
        <v/>
      </c>
    </row>
    <row r="22" customFormat="false" ht="15" hidden="false" customHeight="false" outlineLevel="0" collapsed="false">
      <c r="B22" s="78" t="str">
        <f aca="false">Setup!$G$19&amp;""</f>
        <v/>
      </c>
      <c r="C22" s="25" t="str">
        <f aca="false">IF(B22="","",COUNTIF($C$7:$C$16,B22))</f>
        <v/>
      </c>
      <c r="D22" s="34" t="str">
        <f aca="false">IF(B22="","",SUMIF($C$7:$C$16,B22,D$7:D$16))</f>
        <v/>
      </c>
      <c r="E22" s="34" t="str">
        <f aca="false">IF(B22="","",SUMIF($C$7:$C$16,B22,E$7:E$16))</f>
        <v/>
      </c>
      <c r="F22" s="34" t="str">
        <f aca="false">IF(B22="","",SUMIF($C$7:$C$16,B22,F$7:F$16))</f>
        <v/>
      </c>
      <c r="G22" s="33" t="str">
        <f aca="false">IF(B22="","",SUMIF($C$7:$C$16,B22,G$7:G$16))</f>
        <v/>
      </c>
      <c r="H22" s="78" t="str">
        <f aca="false">IF(B22="","",IF(ABS(G22)&lt;1,"✓ Settled",IF(G22&gt;0,"▲ Gets back","▼ Owes")))</f>
        <v/>
      </c>
    </row>
    <row r="23" customFormat="false" ht="15" hidden="false" customHeight="false" outlineLevel="0" collapsed="false">
      <c r="B23" s="78" t="str">
        <f aca="false">Setup!$G$20&amp;""</f>
        <v/>
      </c>
      <c r="C23" s="25" t="str">
        <f aca="false">IF(B23="","",COUNTIF($C$7:$C$16,B23))</f>
        <v/>
      </c>
      <c r="D23" s="34" t="str">
        <f aca="false">IF(B23="","",SUMIF($C$7:$C$16,B23,D$7:D$16))</f>
        <v/>
      </c>
      <c r="E23" s="34" t="str">
        <f aca="false">IF(B23="","",SUMIF($C$7:$C$16,B23,E$7:E$16))</f>
        <v/>
      </c>
      <c r="F23" s="34" t="str">
        <f aca="false">IF(B23="","",SUMIF($C$7:$C$16,B23,F$7:F$16))</f>
        <v/>
      </c>
      <c r="G23" s="33" t="str">
        <f aca="false">IF(B23="","",SUMIF($C$7:$C$16,B23,G$7:G$16))</f>
        <v/>
      </c>
      <c r="H23" s="78" t="str">
        <f aca="false">IF(B23="","",IF(ABS(G23)&lt;1,"✓ Settled",IF(G23&gt;0,"▲ Gets back","▼ Owes")))</f>
        <v/>
      </c>
    </row>
    <row r="24" customFormat="false" ht="15" hidden="false" customHeight="false" outlineLevel="0" collapsed="false">
      <c r="B24" s="78" t="str">
        <f aca="false">Setup!$G$21&amp;""</f>
        <v/>
      </c>
      <c r="C24" s="25" t="str">
        <f aca="false">IF(B24="","",COUNTIF($C$7:$C$16,B24))</f>
        <v/>
      </c>
      <c r="D24" s="34" t="str">
        <f aca="false">IF(B24="","",SUMIF($C$7:$C$16,B24,D$7:D$16))</f>
        <v/>
      </c>
      <c r="E24" s="34" t="str">
        <f aca="false">IF(B24="","",SUMIF($C$7:$C$16,B24,E$7:E$16))</f>
        <v/>
      </c>
      <c r="F24" s="34" t="str">
        <f aca="false">IF(B24="","",SUMIF($C$7:$C$16,B24,F$7:F$16))</f>
        <v/>
      </c>
      <c r="G24" s="33" t="str">
        <f aca="false">IF(B24="","",SUMIF($C$7:$C$16,B24,G$7:G$16))</f>
        <v/>
      </c>
      <c r="H24" s="78" t="str">
        <f aca="false">IF(B24="","",IF(ABS(G24)&lt;1,"✓ Settled",IF(G24&gt;0,"▲ Gets back","▼ Owes")))</f>
        <v/>
      </c>
    </row>
    <row r="25" customFormat="false" ht="15" hidden="false" customHeight="false" outlineLevel="0" collapsed="false">
      <c r="B25" s="78" t="str">
        <f aca="false">Setup!$G$22&amp;""</f>
        <v/>
      </c>
      <c r="C25" s="25" t="str">
        <f aca="false">IF(B25="","",COUNTIF($C$7:$C$16,B25))</f>
        <v/>
      </c>
      <c r="D25" s="34" t="str">
        <f aca="false">IF(B25="","",SUMIF($C$7:$C$16,B25,D$7:D$16))</f>
        <v/>
      </c>
      <c r="E25" s="34" t="str">
        <f aca="false">IF(B25="","",SUMIF($C$7:$C$16,B25,E$7:E$16))</f>
        <v/>
      </c>
      <c r="F25" s="34" t="str">
        <f aca="false">IF(B25="","",SUMIF($C$7:$C$16,B25,F$7:F$16))</f>
        <v/>
      </c>
      <c r="G25" s="33" t="str">
        <f aca="false">IF(B25="","",SUMIF($C$7:$C$16,B25,G$7:G$16))</f>
        <v/>
      </c>
      <c r="H25" s="78" t="str">
        <f aca="false">IF(B25="","",IF(ABS(G25)&lt;1,"✓ Settled",IF(G25&gt;0,"▲ Gets back","▼ Owes")))</f>
        <v/>
      </c>
    </row>
    <row r="28" customFormat="false" ht="15" hidden="false" customHeight="false" outlineLevel="0" collapsed="false">
      <c r="B28" s="19" t="s">
        <v>233</v>
      </c>
    </row>
    <row r="29" customFormat="false" ht="30" hidden="false" customHeight="true" outlineLevel="0" collapsed="false">
      <c r="B29" s="115" t="s">
        <v>234</v>
      </c>
      <c r="C29" s="115" t="s">
        <v>235</v>
      </c>
      <c r="D29" s="115"/>
      <c r="E29" s="115"/>
    </row>
    <row r="30" customFormat="false" ht="15" hidden="false" customHeight="false" outlineLevel="0" collapsed="false">
      <c r="B30" s="116" t="str">
        <f aca="false">IF(Calc!$BK$2="","",1)</f>
        <v/>
      </c>
      <c r="C30" s="117" t="str">
        <f aca="false">Calc!$BK$2&amp;""</f>
        <v/>
      </c>
      <c r="D30" s="117"/>
      <c r="E30" s="117"/>
      <c r="F30" s="118" t="str">
        <f aca="false">IF(Calc!$BL$2="","",Calc!$BL$2)</f>
        <v/>
      </c>
    </row>
    <row r="31" customFormat="false" ht="15" hidden="false" customHeight="false" outlineLevel="0" collapsed="false">
      <c r="B31" s="116" t="str">
        <f aca="false">IF(Calc!$BK$3="","",2)</f>
        <v/>
      </c>
      <c r="C31" s="117" t="str">
        <f aca="false">Calc!$BK$3&amp;""</f>
        <v/>
      </c>
      <c r="D31" s="117"/>
      <c r="E31" s="117"/>
      <c r="F31" s="118" t="str">
        <f aca="false">IF(Calc!$BL$3="","",Calc!$BL$3)</f>
        <v/>
      </c>
    </row>
    <row r="32" customFormat="false" ht="15" hidden="false" customHeight="false" outlineLevel="0" collapsed="false">
      <c r="B32" s="116" t="str">
        <f aca="false">IF(Calc!$BK$4="","",3)</f>
        <v/>
      </c>
      <c r="C32" s="117" t="str">
        <f aca="false">Calc!$BK$4&amp;""</f>
        <v/>
      </c>
      <c r="D32" s="117"/>
      <c r="E32" s="117"/>
      <c r="F32" s="118" t="str">
        <f aca="false">IF(Calc!$BL$4="","",Calc!$BL$4)</f>
        <v/>
      </c>
    </row>
    <row r="33" customFormat="false" ht="15" hidden="false" customHeight="false" outlineLevel="0" collapsed="false">
      <c r="B33" s="116" t="str">
        <f aca="false">IF(Calc!$BK$5="","",4)</f>
        <v/>
      </c>
      <c r="C33" s="117" t="str">
        <f aca="false">Calc!$BK$5&amp;""</f>
        <v/>
      </c>
      <c r="D33" s="117"/>
      <c r="E33" s="117"/>
      <c r="F33" s="118" t="str">
        <f aca="false">IF(Calc!$BL$5="","",Calc!$BL$5)</f>
        <v/>
      </c>
    </row>
    <row r="34" customFormat="false" ht="15" hidden="false" customHeight="false" outlineLevel="0" collapsed="false">
      <c r="B34" s="116" t="str">
        <f aca="false">IF(Calc!$BK$6="","",5)</f>
        <v/>
      </c>
      <c r="C34" s="117" t="str">
        <f aca="false">Calc!$BK$6&amp;""</f>
        <v/>
      </c>
      <c r="D34" s="117"/>
      <c r="E34" s="117"/>
      <c r="F34" s="118" t="str">
        <f aca="false">IF(Calc!$BL$6="","",Calc!$BL$6)</f>
        <v/>
      </c>
    </row>
    <row r="35" customFormat="false" ht="15" hidden="false" customHeight="false" outlineLevel="0" collapsed="false">
      <c r="B35" s="116" t="str">
        <f aca="false">IF(Calc!$BK$7="","",6)</f>
        <v/>
      </c>
      <c r="C35" s="117" t="str">
        <f aca="false">Calc!$BK$7&amp;""</f>
        <v/>
      </c>
      <c r="D35" s="117"/>
      <c r="E35" s="117"/>
      <c r="F35" s="118" t="str">
        <f aca="false">IF(Calc!$BL$7="","",Calc!$BL$7)</f>
        <v/>
      </c>
    </row>
    <row r="36" customFormat="false" ht="15" hidden="false" customHeight="false" outlineLevel="0" collapsed="false">
      <c r="B36" s="116" t="str">
        <f aca="false">IF(Calc!$BK$8="","",7)</f>
        <v/>
      </c>
      <c r="C36" s="117" t="str">
        <f aca="false">Calc!$BK$8&amp;""</f>
        <v/>
      </c>
      <c r="D36" s="117"/>
      <c r="E36" s="117"/>
      <c r="F36" s="118" t="str">
        <f aca="false">IF(Calc!$BL$8="","",Calc!$BL$8)</f>
        <v/>
      </c>
    </row>
    <row r="37" customFormat="false" ht="15" hidden="false" customHeight="false" outlineLevel="0" collapsed="false">
      <c r="B37" s="116" t="str">
        <f aca="false">IF(Calc!$BK$9="","",8)</f>
        <v/>
      </c>
      <c r="C37" s="117" t="str">
        <f aca="false">Calc!$BK$9&amp;""</f>
        <v/>
      </c>
      <c r="D37" s="117"/>
      <c r="E37" s="117"/>
      <c r="F37" s="118" t="str">
        <f aca="false">IF(Calc!$BL$9="","",Calc!$BL$9)</f>
        <v/>
      </c>
    </row>
    <row r="38" customFormat="false" ht="15" hidden="false" customHeight="false" outlineLevel="0" collapsed="false">
      <c r="B38" s="116" t="str">
        <f aca="false">IF(Calc!$BK$10="","",9)</f>
        <v/>
      </c>
      <c r="C38" s="117" t="str">
        <f aca="false">Calc!$BK$10&amp;""</f>
        <v/>
      </c>
      <c r="D38" s="117"/>
      <c r="E38" s="117"/>
      <c r="F38" s="118" t="str">
        <f aca="false">IF(Calc!$BL$10="","",Calc!$BL$10)</f>
        <v/>
      </c>
    </row>
    <row r="39" customFormat="false" ht="15" hidden="false" customHeight="false" outlineLevel="0" collapsed="false">
      <c r="B39" s="116" t="str">
        <f aca="false">IF(Calc!$BK$11="","",10)</f>
        <v/>
      </c>
      <c r="C39" s="117" t="str">
        <f aca="false">Calc!$BK$11&amp;""</f>
        <v/>
      </c>
      <c r="D39" s="117"/>
      <c r="E39" s="117"/>
      <c r="F39" s="118" t="str">
        <f aca="false">IF(Calc!$BL$11="","",Calc!$BL$11)</f>
        <v/>
      </c>
    </row>
    <row r="40" customFormat="false" ht="15" hidden="false" customHeight="false" outlineLevel="0" collapsed="false">
      <c r="B40" s="116" t="str">
        <f aca="false">IF(Calc!$BK$12="","",11)</f>
        <v/>
      </c>
      <c r="C40" s="117" t="str">
        <f aca="false">Calc!$BK$12&amp;""</f>
        <v/>
      </c>
      <c r="D40" s="117"/>
      <c r="E40" s="117"/>
      <c r="F40" s="118" t="str">
        <f aca="false">IF(Calc!$BL$12="","",Calc!$BL$12)</f>
        <v/>
      </c>
    </row>
    <row r="41" customFormat="false" ht="15" hidden="false" customHeight="false" outlineLevel="0" collapsed="false">
      <c r="B41" s="116" t="str">
        <f aca="false">IF(Calc!$BK$13="","",12)</f>
        <v/>
      </c>
      <c r="C41" s="117" t="str">
        <f aca="false">Calc!$BK$13&amp;""</f>
        <v/>
      </c>
      <c r="D41" s="117"/>
      <c r="E41" s="117"/>
      <c r="F41" s="118" t="str">
        <f aca="false">IF(Calc!$BL$13="","",Calc!$BL$13)</f>
        <v/>
      </c>
    </row>
    <row r="42" customFormat="false" ht="15" hidden="false" customHeight="false" outlineLevel="0" collapsed="false">
      <c r="C42" s="119" t="str">
        <f aca="false">IF(Calc!$BK$2="","✓ Nobody owes anything yet. Mark items Paid on the Expenses tab.","")</f>
        <v>✓ Nobody owes anything yet. Mark items Paid on the Expenses tab.</v>
      </c>
    </row>
    <row r="45" customFormat="false" ht="15" hidden="false" customHeight="false" outlineLevel="0" collapsed="false">
      <c r="B45" s="19" t="s">
        <v>236</v>
      </c>
    </row>
    <row r="46" customFormat="false" ht="15" hidden="false" customHeight="false" outlineLevel="0" collapsed="false">
      <c r="B46" s="120" t="s">
        <v>100</v>
      </c>
      <c r="C46" s="121" t="str">
        <f aca="false">Setup!$B$18&amp;""</f>
        <v/>
      </c>
      <c r="D46" s="121" t="str">
        <f aca="false">Setup!$B$19&amp;""</f>
        <v/>
      </c>
      <c r="E46" s="121" t="str">
        <f aca="false">Setup!$B$20&amp;""</f>
        <v/>
      </c>
      <c r="F46" s="121" t="str">
        <f aca="false">Setup!$B$21&amp;""</f>
        <v/>
      </c>
      <c r="G46" s="121" t="str">
        <f aca="false">Setup!$B$22&amp;""</f>
        <v/>
      </c>
      <c r="H46" s="121" t="str">
        <f aca="false">Setup!$B$23&amp;""</f>
        <v/>
      </c>
      <c r="I46" s="121" t="str">
        <f aca="false">Setup!$B$24&amp;""</f>
        <v/>
      </c>
      <c r="J46" s="121" t="str">
        <f aca="false">Setup!$B$25&amp;""</f>
        <v/>
      </c>
      <c r="K46" s="121" t="str">
        <f aca="false">Setup!$B$26&amp;""</f>
        <v/>
      </c>
      <c r="L46" s="121" t="str">
        <f aca="false">Setup!$B$27&amp;""</f>
        <v/>
      </c>
    </row>
    <row r="47" customFormat="false" ht="15" hidden="false" customHeight="false" outlineLevel="0" collapsed="false">
      <c r="B47" s="45" t="str">
        <f aca="false">Settings!$A$5&amp;""</f>
        <v>Flights</v>
      </c>
      <c r="C47" s="105" t="str">
        <f aca="false">IF(OR(B47="",Setup!$B$18=""),"",SUMPRODUCT((Expenses!$B$6:$B$205=$B47)*Expenses!$S$6:$S$205,Expenses!$AE$6:$AE$205/Expenses!$AO$6:$AO$205))</f>
        <v/>
      </c>
      <c r="D47" s="105" t="str">
        <f aca="false">IF(OR(B47="",Setup!$B$19=""),"",SUMPRODUCT((Expenses!$B$6:$B$205=$B47)*Expenses!$S$6:$S$205,Expenses!$AF$6:$AF$205/Expenses!$AO$6:$AO$205))</f>
        <v/>
      </c>
      <c r="E47" s="105" t="str">
        <f aca="false">IF(OR(B47="",Setup!$B$20=""),"",SUMPRODUCT((Expenses!$B$6:$B$205=$B47)*Expenses!$S$6:$S$205,Expenses!$AG$6:$AG$205/Expenses!$AO$6:$AO$205))</f>
        <v/>
      </c>
      <c r="F47" s="105" t="str">
        <f aca="false">IF(OR(B47="",Setup!$B$21=""),"",SUMPRODUCT((Expenses!$B$6:$B$205=$B47)*Expenses!$S$6:$S$205,Expenses!$AH$6:$AH$205/Expenses!$AO$6:$AO$205))</f>
        <v/>
      </c>
      <c r="G47" s="105" t="str">
        <f aca="false">IF(OR(B47="",Setup!$B$22=""),"",SUMPRODUCT((Expenses!$B$6:$B$205=$B47)*Expenses!$S$6:$S$205,Expenses!$AI$6:$AI$205/Expenses!$AO$6:$AO$205))</f>
        <v/>
      </c>
      <c r="H47" s="105" t="str">
        <f aca="false">IF(OR(B47="",Setup!$B$23=""),"",SUMPRODUCT((Expenses!$B$6:$B$205=$B47)*Expenses!$S$6:$S$205,Expenses!$AJ$6:$AJ$205/Expenses!$AO$6:$AO$205))</f>
        <v/>
      </c>
      <c r="I47" s="105" t="str">
        <f aca="false">IF(OR(B47="",Setup!$B$24=""),"",SUMPRODUCT((Expenses!$B$6:$B$205=$B47)*Expenses!$S$6:$S$205,Expenses!$AK$6:$AK$205/Expenses!$AO$6:$AO$205))</f>
        <v/>
      </c>
      <c r="J47" s="105" t="str">
        <f aca="false">IF(OR(B47="",Setup!$B$25=""),"",SUMPRODUCT((Expenses!$B$6:$B$205=$B47)*Expenses!$S$6:$S$205,Expenses!$AL$6:$AL$205/Expenses!$AO$6:$AO$205))</f>
        <v/>
      </c>
      <c r="K47" s="105" t="str">
        <f aca="false">IF(OR(B47="",Setup!$B$26=""),"",SUMPRODUCT((Expenses!$B$6:$B$205=$B47)*Expenses!$S$6:$S$205,Expenses!$AM$6:$AM$205/Expenses!$AO$6:$AO$205))</f>
        <v/>
      </c>
      <c r="L47" s="105" t="str">
        <f aca="false">IF(OR(B47="",Setup!$B$27=""),"",SUMPRODUCT((Expenses!$B$6:$B$205=$B47)*Expenses!$S$6:$S$205,Expenses!$AN$6:$AN$205/Expenses!$AO$6:$AO$205))</f>
        <v/>
      </c>
    </row>
    <row r="48" customFormat="false" ht="15" hidden="false" customHeight="false" outlineLevel="0" collapsed="false">
      <c r="B48" s="45" t="str">
        <f aca="false">Settings!$A$6&amp;""</f>
        <v>Accommodation</v>
      </c>
      <c r="C48" s="105" t="str">
        <f aca="false">IF(OR(B48="",Setup!$B$18=""),"",SUMPRODUCT((Expenses!$B$6:$B$205=$B48)*Expenses!$S$6:$S$205,Expenses!$AE$6:$AE$205/Expenses!$AO$6:$AO$205))</f>
        <v/>
      </c>
      <c r="D48" s="105" t="str">
        <f aca="false">IF(OR(B48="",Setup!$B$19=""),"",SUMPRODUCT((Expenses!$B$6:$B$205=$B48)*Expenses!$S$6:$S$205,Expenses!$AF$6:$AF$205/Expenses!$AO$6:$AO$205))</f>
        <v/>
      </c>
      <c r="E48" s="105" t="str">
        <f aca="false">IF(OR(B48="",Setup!$B$20=""),"",SUMPRODUCT((Expenses!$B$6:$B$205=$B48)*Expenses!$S$6:$S$205,Expenses!$AG$6:$AG$205/Expenses!$AO$6:$AO$205))</f>
        <v/>
      </c>
      <c r="F48" s="105" t="str">
        <f aca="false">IF(OR(B48="",Setup!$B$21=""),"",SUMPRODUCT((Expenses!$B$6:$B$205=$B48)*Expenses!$S$6:$S$205,Expenses!$AH$6:$AH$205/Expenses!$AO$6:$AO$205))</f>
        <v/>
      </c>
      <c r="G48" s="105" t="str">
        <f aca="false">IF(OR(B48="",Setup!$B$22=""),"",SUMPRODUCT((Expenses!$B$6:$B$205=$B48)*Expenses!$S$6:$S$205,Expenses!$AI$6:$AI$205/Expenses!$AO$6:$AO$205))</f>
        <v/>
      </c>
      <c r="H48" s="105" t="str">
        <f aca="false">IF(OR(B48="",Setup!$B$23=""),"",SUMPRODUCT((Expenses!$B$6:$B$205=$B48)*Expenses!$S$6:$S$205,Expenses!$AJ$6:$AJ$205/Expenses!$AO$6:$AO$205))</f>
        <v/>
      </c>
      <c r="I48" s="105" t="str">
        <f aca="false">IF(OR(B48="",Setup!$B$24=""),"",SUMPRODUCT((Expenses!$B$6:$B$205=$B48)*Expenses!$S$6:$S$205,Expenses!$AK$6:$AK$205/Expenses!$AO$6:$AO$205))</f>
        <v/>
      </c>
      <c r="J48" s="105" t="str">
        <f aca="false">IF(OR(B48="",Setup!$B$25=""),"",SUMPRODUCT((Expenses!$B$6:$B$205=$B48)*Expenses!$S$6:$S$205,Expenses!$AL$6:$AL$205/Expenses!$AO$6:$AO$205))</f>
        <v/>
      </c>
      <c r="K48" s="105" t="str">
        <f aca="false">IF(OR(B48="",Setup!$B$26=""),"",SUMPRODUCT((Expenses!$B$6:$B$205=$B48)*Expenses!$S$6:$S$205,Expenses!$AM$6:$AM$205/Expenses!$AO$6:$AO$205))</f>
        <v/>
      </c>
      <c r="L48" s="105" t="str">
        <f aca="false">IF(OR(B48="",Setup!$B$27=""),"",SUMPRODUCT((Expenses!$B$6:$B$205=$B48)*Expenses!$S$6:$S$205,Expenses!$AN$6:$AN$205/Expenses!$AO$6:$AO$205))</f>
        <v/>
      </c>
    </row>
    <row r="49" customFormat="false" ht="15" hidden="false" customHeight="false" outlineLevel="0" collapsed="false">
      <c r="B49" s="45" t="str">
        <f aca="false">Settings!$A$7&amp;""</f>
        <v>Local transport</v>
      </c>
      <c r="C49" s="105" t="str">
        <f aca="false">IF(OR(B49="",Setup!$B$18=""),"",SUMPRODUCT((Expenses!$B$6:$B$205=$B49)*Expenses!$S$6:$S$205,Expenses!$AE$6:$AE$205/Expenses!$AO$6:$AO$205))</f>
        <v/>
      </c>
      <c r="D49" s="105" t="str">
        <f aca="false">IF(OR(B49="",Setup!$B$19=""),"",SUMPRODUCT((Expenses!$B$6:$B$205=$B49)*Expenses!$S$6:$S$205,Expenses!$AF$6:$AF$205/Expenses!$AO$6:$AO$205))</f>
        <v/>
      </c>
      <c r="E49" s="105" t="str">
        <f aca="false">IF(OR(B49="",Setup!$B$20=""),"",SUMPRODUCT((Expenses!$B$6:$B$205=$B49)*Expenses!$S$6:$S$205,Expenses!$AG$6:$AG$205/Expenses!$AO$6:$AO$205))</f>
        <v/>
      </c>
      <c r="F49" s="105" t="str">
        <f aca="false">IF(OR(B49="",Setup!$B$21=""),"",SUMPRODUCT((Expenses!$B$6:$B$205=$B49)*Expenses!$S$6:$S$205,Expenses!$AH$6:$AH$205/Expenses!$AO$6:$AO$205))</f>
        <v/>
      </c>
      <c r="G49" s="105" t="str">
        <f aca="false">IF(OR(B49="",Setup!$B$22=""),"",SUMPRODUCT((Expenses!$B$6:$B$205=$B49)*Expenses!$S$6:$S$205,Expenses!$AI$6:$AI$205/Expenses!$AO$6:$AO$205))</f>
        <v/>
      </c>
      <c r="H49" s="105" t="str">
        <f aca="false">IF(OR(B49="",Setup!$B$23=""),"",SUMPRODUCT((Expenses!$B$6:$B$205=$B49)*Expenses!$S$6:$S$205,Expenses!$AJ$6:$AJ$205/Expenses!$AO$6:$AO$205))</f>
        <v/>
      </c>
      <c r="I49" s="105" t="str">
        <f aca="false">IF(OR(B49="",Setup!$B$24=""),"",SUMPRODUCT((Expenses!$B$6:$B$205=$B49)*Expenses!$S$6:$S$205,Expenses!$AK$6:$AK$205/Expenses!$AO$6:$AO$205))</f>
        <v/>
      </c>
      <c r="J49" s="105" t="str">
        <f aca="false">IF(OR(B49="",Setup!$B$25=""),"",SUMPRODUCT((Expenses!$B$6:$B$205=$B49)*Expenses!$S$6:$S$205,Expenses!$AL$6:$AL$205/Expenses!$AO$6:$AO$205))</f>
        <v/>
      </c>
      <c r="K49" s="105" t="str">
        <f aca="false">IF(OR(B49="",Setup!$B$26=""),"",SUMPRODUCT((Expenses!$B$6:$B$205=$B49)*Expenses!$S$6:$S$205,Expenses!$AM$6:$AM$205/Expenses!$AO$6:$AO$205))</f>
        <v/>
      </c>
      <c r="L49" s="105" t="str">
        <f aca="false">IF(OR(B49="",Setup!$B$27=""),"",SUMPRODUCT((Expenses!$B$6:$B$205=$B49)*Expenses!$S$6:$S$205,Expenses!$AN$6:$AN$205/Expenses!$AO$6:$AO$205))</f>
        <v/>
      </c>
    </row>
    <row r="50" customFormat="false" ht="15" hidden="false" customHeight="false" outlineLevel="0" collapsed="false">
      <c r="B50" s="45" t="str">
        <f aca="false">Settings!$A$8&amp;""</f>
        <v>Car rental &amp; fuel</v>
      </c>
      <c r="C50" s="105" t="str">
        <f aca="false">IF(OR(B50="",Setup!$B$18=""),"",SUMPRODUCT((Expenses!$B$6:$B$205=$B50)*Expenses!$S$6:$S$205,Expenses!$AE$6:$AE$205/Expenses!$AO$6:$AO$205))</f>
        <v/>
      </c>
      <c r="D50" s="105" t="str">
        <f aca="false">IF(OR(B50="",Setup!$B$19=""),"",SUMPRODUCT((Expenses!$B$6:$B$205=$B50)*Expenses!$S$6:$S$205,Expenses!$AF$6:$AF$205/Expenses!$AO$6:$AO$205))</f>
        <v/>
      </c>
      <c r="E50" s="105" t="str">
        <f aca="false">IF(OR(B50="",Setup!$B$20=""),"",SUMPRODUCT((Expenses!$B$6:$B$205=$B50)*Expenses!$S$6:$S$205,Expenses!$AG$6:$AG$205/Expenses!$AO$6:$AO$205))</f>
        <v/>
      </c>
      <c r="F50" s="105" t="str">
        <f aca="false">IF(OR(B50="",Setup!$B$21=""),"",SUMPRODUCT((Expenses!$B$6:$B$205=$B50)*Expenses!$S$6:$S$205,Expenses!$AH$6:$AH$205/Expenses!$AO$6:$AO$205))</f>
        <v/>
      </c>
      <c r="G50" s="105" t="str">
        <f aca="false">IF(OR(B50="",Setup!$B$22=""),"",SUMPRODUCT((Expenses!$B$6:$B$205=$B50)*Expenses!$S$6:$S$205,Expenses!$AI$6:$AI$205/Expenses!$AO$6:$AO$205))</f>
        <v/>
      </c>
      <c r="H50" s="105" t="str">
        <f aca="false">IF(OR(B50="",Setup!$B$23=""),"",SUMPRODUCT((Expenses!$B$6:$B$205=$B50)*Expenses!$S$6:$S$205,Expenses!$AJ$6:$AJ$205/Expenses!$AO$6:$AO$205))</f>
        <v/>
      </c>
      <c r="I50" s="105" t="str">
        <f aca="false">IF(OR(B50="",Setup!$B$24=""),"",SUMPRODUCT((Expenses!$B$6:$B$205=$B50)*Expenses!$S$6:$S$205,Expenses!$AK$6:$AK$205/Expenses!$AO$6:$AO$205))</f>
        <v/>
      </c>
      <c r="J50" s="105" t="str">
        <f aca="false">IF(OR(B50="",Setup!$B$25=""),"",SUMPRODUCT((Expenses!$B$6:$B$205=$B50)*Expenses!$S$6:$S$205,Expenses!$AL$6:$AL$205/Expenses!$AO$6:$AO$205))</f>
        <v/>
      </c>
      <c r="K50" s="105" t="str">
        <f aca="false">IF(OR(B50="",Setup!$B$26=""),"",SUMPRODUCT((Expenses!$B$6:$B$205=$B50)*Expenses!$S$6:$S$205,Expenses!$AM$6:$AM$205/Expenses!$AO$6:$AO$205))</f>
        <v/>
      </c>
      <c r="L50" s="105" t="str">
        <f aca="false">IF(OR(B50="",Setup!$B$27=""),"",SUMPRODUCT((Expenses!$B$6:$B$205=$B50)*Expenses!$S$6:$S$205,Expenses!$AN$6:$AN$205/Expenses!$AO$6:$AO$205))</f>
        <v/>
      </c>
    </row>
    <row r="51" customFormat="false" ht="15" hidden="false" customHeight="false" outlineLevel="0" collapsed="false">
      <c r="B51" s="45" t="str">
        <f aca="false">Settings!$A$9&amp;""</f>
        <v>Trains &amp; buses</v>
      </c>
      <c r="C51" s="105" t="str">
        <f aca="false">IF(OR(B51="",Setup!$B$18=""),"",SUMPRODUCT((Expenses!$B$6:$B$205=$B51)*Expenses!$S$6:$S$205,Expenses!$AE$6:$AE$205/Expenses!$AO$6:$AO$205))</f>
        <v/>
      </c>
      <c r="D51" s="105" t="str">
        <f aca="false">IF(OR(B51="",Setup!$B$19=""),"",SUMPRODUCT((Expenses!$B$6:$B$205=$B51)*Expenses!$S$6:$S$205,Expenses!$AF$6:$AF$205/Expenses!$AO$6:$AO$205))</f>
        <v/>
      </c>
      <c r="E51" s="105" t="str">
        <f aca="false">IF(OR(B51="",Setup!$B$20=""),"",SUMPRODUCT((Expenses!$B$6:$B$205=$B51)*Expenses!$S$6:$S$205,Expenses!$AG$6:$AG$205/Expenses!$AO$6:$AO$205))</f>
        <v/>
      </c>
      <c r="F51" s="105" t="str">
        <f aca="false">IF(OR(B51="",Setup!$B$21=""),"",SUMPRODUCT((Expenses!$B$6:$B$205=$B51)*Expenses!$S$6:$S$205,Expenses!$AH$6:$AH$205/Expenses!$AO$6:$AO$205))</f>
        <v/>
      </c>
      <c r="G51" s="105" t="str">
        <f aca="false">IF(OR(B51="",Setup!$B$22=""),"",SUMPRODUCT((Expenses!$B$6:$B$205=$B51)*Expenses!$S$6:$S$205,Expenses!$AI$6:$AI$205/Expenses!$AO$6:$AO$205))</f>
        <v/>
      </c>
      <c r="H51" s="105" t="str">
        <f aca="false">IF(OR(B51="",Setup!$B$23=""),"",SUMPRODUCT((Expenses!$B$6:$B$205=$B51)*Expenses!$S$6:$S$205,Expenses!$AJ$6:$AJ$205/Expenses!$AO$6:$AO$205))</f>
        <v/>
      </c>
      <c r="I51" s="105" t="str">
        <f aca="false">IF(OR(B51="",Setup!$B$24=""),"",SUMPRODUCT((Expenses!$B$6:$B$205=$B51)*Expenses!$S$6:$S$205,Expenses!$AK$6:$AK$205/Expenses!$AO$6:$AO$205))</f>
        <v/>
      </c>
      <c r="J51" s="105" t="str">
        <f aca="false">IF(OR(B51="",Setup!$B$25=""),"",SUMPRODUCT((Expenses!$B$6:$B$205=$B51)*Expenses!$S$6:$S$205,Expenses!$AL$6:$AL$205/Expenses!$AO$6:$AO$205))</f>
        <v/>
      </c>
      <c r="K51" s="105" t="str">
        <f aca="false">IF(OR(B51="",Setup!$B$26=""),"",SUMPRODUCT((Expenses!$B$6:$B$205=$B51)*Expenses!$S$6:$S$205,Expenses!$AM$6:$AM$205/Expenses!$AO$6:$AO$205))</f>
        <v/>
      </c>
      <c r="L51" s="105" t="str">
        <f aca="false">IF(OR(B51="",Setup!$B$27=""),"",SUMPRODUCT((Expenses!$B$6:$B$205=$B51)*Expenses!$S$6:$S$205,Expenses!$AN$6:$AN$205/Expenses!$AO$6:$AO$205))</f>
        <v/>
      </c>
    </row>
    <row r="52" customFormat="false" ht="15" hidden="false" customHeight="false" outlineLevel="0" collapsed="false">
      <c r="B52" s="45" t="str">
        <f aca="false">Settings!$A$10&amp;""</f>
        <v>Tours &amp; activities</v>
      </c>
      <c r="C52" s="105" t="str">
        <f aca="false">IF(OR(B52="",Setup!$B$18=""),"",SUMPRODUCT((Expenses!$B$6:$B$205=$B52)*Expenses!$S$6:$S$205,Expenses!$AE$6:$AE$205/Expenses!$AO$6:$AO$205))</f>
        <v/>
      </c>
      <c r="D52" s="105" t="str">
        <f aca="false">IF(OR(B52="",Setup!$B$19=""),"",SUMPRODUCT((Expenses!$B$6:$B$205=$B52)*Expenses!$S$6:$S$205,Expenses!$AF$6:$AF$205/Expenses!$AO$6:$AO$205))</f>
        <v/>
      </c>
      <c r="E52" s="105" t="str">
        <f aca="false">IF(OR(B52="",Setup!$B$20=""),"",SUMPRODUCT((Expenses!$B$6:$B$205=$B52)*Expenses!$S$6:$S$205,Expenses!$AG$6:$AG$205/Expenses!$AO$6:$AO$205))</f>
        <v/>
      </c>
      <c r="F52" s="105" t="str">
        <f aca="false">IF(OR(B52="",Setup!$B$21=""),"",SUMPRODUCT((Expenses!$B$6:$B$205=$B52)*Expenses!$S$6:$S$205,Expenses!$AH$6:$AH$205/Expenses!$AO$6:$AO$205))</f>
        <v/>
      </c>
      <c r="G52" s="105" t="str">
        <f aca="false">IF(OR(B52="",Setup!$B$22=""),"",SUMPRODUCT((Expenses!$B$6:$B$205=$B52)*Expenses!$S$6:$S$205,Expenses!$AI$6:$AI$205/Expenses!$AO$6:$AO$205))</f>
        <v/>
      </c>
      <c r="H52" s="105" t="str">
        <f aca="false">IF(OR(B52="",Setup!$B$23=""),"",SUMPRODUCT((Expenses!$B$6:$B$205=$B52)*Expenses!$S$6:$S$205,Expenses!$AJ$6:$AJ$205/Expenses!$AO$6:$AO$205))</f>
        <v/>
      </c>
      <c r="I52" s="105" t="str">
        <f aca="false">IF(OR(B52="",Setup!$B$24=""),"",SUMPRODUCT((Expenses!$B$6:$B$205=$B52)*Expenses!$S$6:$S$205,Expenses!$AK$6:$AK$205/Expenses!$AO$6:$AO$205))</f>
        <v/>
      </c>
      <c r="J52" s="105" t="str">
        <f aca="false">IF(OR(B52="",Setup!$B$25=""),"",SUMPRODUCT((Expenses!$B$6:$B$205=$B52)*Expenses!$S$6:$S$205,Expenses!$AL$6:$AL$205/Expenses!$AO$6:$AO$205))</f>
        <v/>
      </c>
      <c r="K52" s="105" t="str">
        <f aca="false">IF(OR(B52="",Setup!$B$26=""),"",SUMPRODUCT((Expenses!$B$6:$B$205=$B52)*Expenses!$S$6:$S$205,Expenses!$AM$6:$AM$205/Expenses!$AO$6:$AO$205))</f>
        <v/>
      </c>
      <c r="L52" s="105" t="str">
        <f aca="false">IF(OR(B52="",Setup!$B$27=""),"",SUMPRODUCT((Expenses!$B$6:$B$205=$B52)*Expenses!$S$6:$S$205,Expenses!$AN$6:$AN$205/Expenses!$AO$6:$AO$205))</f>
        <v/>
      </c>
    </row>
    <row r="53" customFormat="false" ht="15" hidden="false" customHeight="false" outlineLevel="0" collapsed="false">
      <c r="B53" s="45" t="str">
        <f aca="false">Settings!$A$11&amp;""</f>
        <v>Attraction tickets</v>
      </c>
      <c r="C53" s="105" t="str">
        <f aca="false">IF(OR(B53="",Setup!$B$18=""),"",SUMPRODUCT((Expenses!$B$6:$B$205=$B53)*Expenses!$S$6:$S$205,Expenses!$AE$6:$AE$205/Expenses!$AO$6:$AO$205))</f>
        <v/>
      </c>
      <c r="D53" s="105" t="str">
        <f aca="false">IF(OR(B53="",Setup!$B$19=""),"",SUMPRODUCT((Expenses!$B$6:$B$205=$B53)*Expenses!$S$6:$S$205,Expenses!$AF$6:$AF$205/Expenses!$AO$6:$AO$205))</f>
        <v/>
      </c>
      <c r="E53" s="105" t="str">
        <f aca="false">IF(OR(B53="",Setup!$B$20=""),"",SUMPRODUCT((Expenses!$B$6:$B$205=$B53)*Expenses!$S$6:$S$205,Expenses!$AG$6:$AG$205/Expenses!$AO$6:$AO$205))</f>
        <v/>
      </c>
      <c r="F53" s="105" t="str">
        <f aca="false">IF(OR(B53="",Setup!$B$21=""),"",SUMPRODUCT((Expenses!$B$6:$B$205=$B53)*Expenses!$S$6:$S$205,Expenses!$AH$6:$AH$205/Expenses!$AO$6:$AO$205))</f>
        <v/>
      </c>
      <c r="G53" s="105" t="str">
        <f aca="false">IF(OR(B53="",Setup!$B$22=""),"",SUMPRODUCT((Expenses!$B$6:$B$205=$B53)*Expenses!$S$6:$S$205,Expenses!$AI$6:$AI$205/Expenses!$AO$6:$AO$205))</f>
        <v/>
      </c>
      <c r="H53" s="105" t="str">
        <f aca="false">IF(OR(B53="",Setup!$B$23=""),"",SUMPRODUCT((Expenses!$B$6:$B$205=$B53)*Expenses!$S$6:$S$205,Expenses!$AJ$6:$AJ$205/Expenses!$AO$6:$AO$205))</f>
        <v/>
      </c>
      <c r="I53" s="105" t="str">
        <f aca="false">IF(OR(B53="",Setup!$B$24=""),"",SUMPRODUCT((Expenses!$B$6:$B$205=$B53)*Expenses!$S$6:$S$205,Expenses!$AK$6:$AK$205/Expenses!$AO$6:$AO$205))</f>
        <v/>
      </c>
      <c r="J53" s="105" t="str">
        <f aca="false">IF(OR(B53="",Setup!$B$25=""),"",SUMPRODUCT((Expenses!$B$6:$B$205=$B53)*Expenses!$S$6:$S$205,Expenses!$AL$6:$AL$205/Expenses!$AO$6:$AO$205))</f>
        <v/>
      </c>
      <c r="K53" s="105" t="str">
        <f aca="false">IF(OR(B53="",Setup!$B$26=""),"",SUMPRODUCT((Expenses!$B$6:$B$205=$B53)*Expenses!$S$6:$S$205,Expenses!$AM$6:$AM$205/Expenses!$AO$6:$AO$205))</f>
        <v/>
      </c>
      <c r="L53" s="105" t="str">
        <f aca="false">IF(OR(B53="",Setup!$B$27=""),"",SUMPRODUCT((Expenses!$B$6:$B$205=$B53)*Expenses!$S$6:$S$205,Expenses!$AN$6:$AN$205/Expenses!$AO$6:$AO$205))</f>
        <v/>
      </c>
    </row>
    <row r="54" customFormat="false" ht="15" hidden="false" customHeight="false" outlineLevel="0" collapsed="false">
      <c r="B54" s="45" t="str">
        <f aca="false">Settings!$A$12&amp;""</f>
        <v>Food &amp; dining</v>
      </c>
      <c r="C54" s="105" t="str">
        <f aca="false">IF(OR(B54="",Setup!$B$18=""),"",SUMPRODUCT((Expenses!$B$6:$B$205=$B54)*Expenses!$S$6:$S$205,Expenses!$AE$6:$AE$205/Expenses!$AO$6:$AO$205))</f>
        <v/>
      </c>
      <c r="D54" s="105" t="str">
        <f aca="false">IF(OR(B54="",Setup!$B$19=""),"",SUMPRODUCT((Expenses!$B$6:$B$205=$B54)*Expenses!$S$6:$S$205,Expenses!$AF$6:$AF$205/Expenses!$AO$6:$AO$205))</f>
        <v/>
      </c>
      <c r="E54" s="105" t="str">
        <f aca="false">IF(OR(B54="",Setup!$B$20=""),"",SUMPRODUCT((Expenses!$B$6:$B$205=$B54)*Expenses!$S$6:$S$205,Expenses!$AG$6:$AG$205/Expenses!$AO$6:$AO$205))</f>
        <v/>
      </c>
      <c r="F54" s="105" t="str">
        <f aca="false">IF(OR(B54="",Setup!$B$21=""),"",SUMPRODUCT((Expenses!$B$6:$B$205=$B54)*Expenses!$S$6:$S$205,Expenses!$AH$6:$AH$205/Expenses!$AO$6:$AO$205))</f>
        <v/>
      </c>
      <c r="G54" s="105" t="str">
        <f aca="false">IF(OR(B54="",Setup!$B$22=""),"",SUMPRODUCT((Expenses!$B$6:$B$205=$B54)*Expenses!$S$6:$S$205,Expenses!$AI$6:$AI$205/Expenses!$AO$6:$AO$205))</f>
        <v/>
      </c>
      <c r="H54" s="105" t="str">
        <f aca="false">IF(OR(B54="",Setup!$B$23=""),"",SUMPRODUCT((Expenses!$B$6:$B$205=$B54)*Expenses!$S$6:$S$205,Expenses!$AJ$6:$AJ$205/Expenses!$AO$6:$AO$205))</f>
        <v/>
      </c>
      <c r="I54" s="105" t="str">
        <f aca="false">IF(OR(B54="",Setup!$B$24=""),"",SUMPRODUCT((Expenses!$B$6:$B$205=$B54)*Expenses!$S$6:$S$205,Expenses!$AK$6:$AK$205/Expenses!$AO$6:$AO$205))</f>
        <v/>
      </c>
      <c r="J54" s="105" t="str">
        <f aca="false">IF(OR(B54="",Setup!$B$25=""),"",SUMPRODUCT((Expenses!$B$6:$B$205=$B54)*Expenses!$S$6:$S$205,Expenses!$AL$6:$AL$205/Expenses!$AO$6:$AO$205))</f>
        <v/>
      </c>
      <c r="K54" s="105" t="str">
        <f aca="false">IF(OR(B54="",Setup!$B$26=""),"",SUMPRODUCT((Expenses!$B$6:$B$205=$B54)*Expenses!$S$6:$S$205,Expenses!$AM$6:$AM$205/Expenses!$AO$6:$AO$205))</f>
        <v/>
      </c>
      <c r="L54" s="105" t="str">
        <f aca="false">IF(OR(B54="",Setup!$B$27=""),"",SUMPRODUCT((Expenses!$B$6:$B$205=$B54)*Expenses!$S$6:$S$205,Expenses!$AN$6:$AN$205/Expenses!$AO$6:$AO$205))</f>
        <v/>
      </c>
    </row>
    <row r="55" customFormat="false" ht="15" hidden="false" customHeight="false" outlineLevel="0" collapsed="false">
      <c r="B55" s="45" t="str">
        <f aca="false">Settings!$A$13&amp;""</f>
        <v>Groceries &amp; snacks</v>
      </c>
      <c r="C55" s="105" t="str">
        <f aca="false">IF(OR(B55="",Setup!$B$18=""),"",SUMPRODUCT((Expenses!$B$6:$B$205=$B55)*Expenses!$S$6:$S$205,Expenses!$AE$6:$AE$205/Expenses!$AO$6:$AO$205))</f>
        <v/>
      </c>
      <c r="D55" s="105" t="str">
        <f aca="false">IF(OR(B55="",Setup!$B$19=""),"",SUMPRODUCT((Expenses!$B$6:$B$205=$B55)*Expenses!$S$6:$S$205,Expenses!$AF$6:$AF$205/Expenses!$AO$6:$AO$205))</f>
        <v/>
      </c>
      <c r="E55" s="105" t="str">
        <f aca="false">IF(OR(B55="",Setup!$B$20=""),"",SUMPRODUCT((Expenses!$B$6:$B$205=$B55)*Expenses!$S$6:$S$205,Expenses!$AG$6:$AG$205/Expenses!$AO$6:$AO$205))</f>
        <v/>
      </c>
      <c r="F55" s="105" t="str">
        <f aca="false">IF(OR(B55="",Setup!$B$21=""),"",SUMPRODUCT((Expenses!$B$6:$B$205=$B55)*Expenses!$S$6:$S$205,Expenses!$AH$6:$AH$205/Expenses!$AO$6:$AO$205))</f>
        <v/>
      </c>
      <c r="G55" s="105" t="str">
        <f aca="false">IF(OR(B55="",Setup!$B$22=""),"",SUMPRODUCT((Expenses!$B$6:$B$205=$B55)*Expenses!$S$6:$S$205,Expenses!$AI$6:$AI$205/Expenses!$AO$6:$AO$205))</f>
        <v/>
      </c>
      <c r="H55" s="105" t="str">
        <f aca="false">IF(OR(B55="",Setup!$B$23=""),"",SUMPRODUCT((Expenses!$B$6:$B$205=$B55)*Expenses!$S$6:$S$205,Expenses!$AJ$6:$AJ$205/Expenses!$AO$6:$AO$205))</f>
        <v/>
      </c>
      <c r="I55" s="105" t="str">
        <f aca="false">IF(OR(B55="",Setup!$B$24=""),"",SUMPRODUCT((Expenses!$B$6:$B$205=$B55)*Expenses!$S$6:$S$205,Expenses!$AK$6:$AK$205/Expenses!$AO$6:$AO$205))</f>
        <v/>
      </c>
      <c r="J55" s="105" t="str">
        <f aca="false">IF(OR(B55="",Setup!$B$25=""),"",SUMPRODUCT((Expenses!$B$6:$B$205=$B55)*Expenses!$S$6:$S$205,Expenses!$AL$6:$AL$205/Expenses!$AO$6:$AO$205))</f>
        <v/>
      </c>
      <c r="K55" s="105" t="str">
        <f aca="false">IF(OR(B55="",Setup!$B$26=""),"",SUMPRODUCT((Expenses!$B$6:$B$205=$B55)*Expenses!$S$6:$S$205,Expenses!$AM$6:$AM$205/Expenses!$AO$6:$AO$205))</f>
        <v/>
      </c>
      <c r="L55" s="105" t="str">
        <f aca="false">IF(OR(B55="",Setup!$B$27=""),"",SUMPRODUCT((Expenses!$B$6:$B$205=$B55)*Expenses!$S$6:$S$205,Expenses!$AN$6:$AN$205/Expenses!$AO$6:$AO$205))</f>
        <v/>
      </c>
    </row>
    <row r="56" customFormat="false" ht="15" hidden="false" customHeight="false" outlineLevel="0" collapsed="false">
      <c r="B56" s="45" t="str">
        <f aca="false">Settings!$A$14&amp;""</f>
        <v>Shopping &amp; souvenirs</v>
      </c>
      <c r="C56" s="105" t="str">
        <f aca="false">IF(OR(B56="",Setup!$B$18=""),"",SUMPRODUCT((Expenses!$B$6:$B$205=$B56)*Expenses!$S$6:$S$205,Expenses!$AE$6:$AE$205/Expenses!$AO$6:$AO$205))</f>
        <v/>
      </c>
      <c r="D56" s="105" t="str">
        <f aca="false">IF(OR(B56="",Setup!$B$19=""),"",SUMPRODUCT((Expenses!$B$6:$B$205=$B56)*Expenses!$S$6:$S$205,Expenses!$AF$6:$AF$205/Expenses!$AO$6:$AO$205))</f>
        <v/>
      </c>
      <c r="E56" s="105" t="str">
        <f aca="false">IF(OR(B56="",Setup!$B$20=""),"",SUMPRODUCT((Expenses!$B$6:$B$205=$B56)*Expenses!$S$6:$S$205,Expenses!$AG$6:$AG$205/Expenses!$AO$6:$AO$205))</f>
        <v/>
      </c>
      <c r="F56" s="105" t="str">
        <f aca="false">IF(OR(B56="",Setup!$B$21=""),"",SUMPRODUCT((Expenses!$B$6:$B$205=$B56)*Expenses!$S$6:$S$205,Expenses!$AH$6:$AH$205/Expenses!$AO$6:$AO$205))</f>
        <v/>
      </c>
      <c r="G56" s="105" t="str">
        <f aca="false">IF(OR(B56="",Setup!$B$22=""),"",SUMPRODUCT((Expenses!$B$6:$B$205=$B56)*Expenses!$S$6:$S$205,Expenses!$AI$6:$AI$205/Expenses!$AO$6:$AO$205))</f>
        <v/>
      </c>
      <c r="H56" s="105" t="str">
        <f aca="false">IF(OR(B56="",Setup!$B$23=""),"",SUMPRODUCT((Expenses!$B$6:$B$205=$B56)*Expenses!$S$6:$S$205,Expenses!$AJ$6:$AJ$205/Expenses!$AO$6:$AO$205))</f>
        <v/>
      </c>
      <c r="I56" s="105" t="str">
        <f aca="false">IF(OR(B56="",Setup!$B$24=""),"",SUMPRODUCT((Expenses!$B$6:$B$205=$B56)*Expenses!$S$6:$S$205,Expenses!$AK$6:$AK$205/Expenses!$AO$6:$AO$205))</f>
        <v/>
      </c>
      <c r="J56" s="105" t="str">
        <f aca="false">IF(OR(B56="",Setup!$B$25=""),"",SUMPRODUCT((Expenses!$B$6:$B$205=$B56)*Expenses!$S$6:$S$205,Expenses!$AL$6:$AL$205/Expenses!$AO$6:$AO$205))</f>
        <v/>
      </c>
      <c r="K56" s="105" t="str">
        <f aca="false">IF(OR(B56="",Setup!$B$26=""),"",SUMPRODUCT((Expenses!$B$6:$B$205=$B56)*Expenses!$S$6:$S$205,Expenses!$AM$6:$AM$205/Expenses!$AO$6:$AO$205))</f>
        <v/>
      </c>
      <c r="L56" s="105" t="str">
        <f aca="false">IF(OR(B56="",Setup!$B$27=""),"",SUMPRODUCT((Expenses!$B$6:$B$205=$B56)*Expenses!$S$6:$S$205,Expenses!$AN$6:$AN$205/Expenses!$AO$6:$AO$205))</f>
        <v/>
      </c>
    </row>
    <row r="57" customFormat="false" ht="15" hidden="false" customHeight="false" outlineLevel="0" collapsed="false">
      <c r="B57" s="45" t="str">
        <f aca="false">Settings!$A$15&amp;""</f>
        <v>Visa &amp; documents</v>
      </c>
      <c r="C57" s="105" t="str">
        <f aca="false">IF(OR(B57="",Setup!$B$18=""),"",SUMPRODUCT((Expenses!$B$6:$B$205=$B57)*Expenses!$S$6:$S$205,Expenses!$AE$6:$AE$205/Expenses!$AO$6:$AO$205))</f>
        <v/>
      </c>
      <c r="D57" s="105" t="str">
        <f aca="false">IF(OR(B57="",Setup!$B$19=""),"",SUMPRODUCT((Expenses!$B$6:$B$205=$B57)*Expenses!$S$6:$S$205,Expenses!$AF$6:$AF$205/Expenses!$AO$6:$AO$205))</f>
        <v/>
      </c>
      <c r="E57" s="105" t="str">
        <f aca="false">IF(OR(B57="",Setup!$B$20=""),"",SUMPRODUCT((Expenses!$B$6:$B$205=$B57)*Expenses!$S$6:$S$205,Expenses!$AG$6:$AG$205/Expenses!$AO$6:$AO$205))</f>
        <v/>
      </c>
      <c r="F57" s="105" t="str">
        <f aca="false">IF(OR(B57="",Setup!$B$21=""),"",SUMPRODUCT((Expenses!$B$6:$B$205=$B57)*Expenses!$S$6:$S$205,Expenses!$AH$6:$AH$205/Expenses!$AO$6:$AO$205))</f>
        <v/>
      </c>
      <c r="G57" s="105" t="str">
        <f aca="false">IF(OR(B57="",Setup!$B$22=""),"",SUMPRODUCT((Expenses!$B$6:$B$205=$B57)*Expenses!$S$6:$S$205,Expenses!$AI$6:$AI$205/Expenses!$AO$6:$AO$205))</f>
        <v/>
      </c>
      <c r="H57" s="105" t="str">
        <f aca="false">IF(OR(B57="",Setup!$B$23=""),"",SUMPRODUCT((Expenses!$B$6:$B$205=$B57)*Expenses!$S$6:$S$205,Expenses!$AJ$6:$AJ$205/Expenses!$AO$6:$AO$205))</f>
        <v/>
      </c>
      <c r="I57" s="105" t="str">
        <f aca="false">IF(OR(B57="",Setup!$B$24=""),"",SUMPRODUCT((Expenses!$B$6:$B$205=$B57)*Expenses!$S$6:$S$205,Expenses!$AK$6:$AK$205/Expenses!$AO$6:$AO$205))</f>
        <v/>
      </c>
      <c r="J57" s="105" t="str">
        <f aca="false">IF(OR(B57="",Setup!$B$25=""),"",SUMPRODUCT((Expenses!$B$6:$B$205=$B57)*Expenses!$S$6:$S$205,Expenses!$AL$6:$AL$205/Expenses!$AO$6:$AO$205))</f>
        <v/>
      </c>
      <c r="K57" s="105" t="str">
        <f aca="false">IF(OR(B57="",Setup!$B$26=""),"",SUMPRODUCT((Expenses!$B$6:$B$205=$B57)*Expenses!$S$6:$S$205,Expenses!$AM$6:$AM$205/Expenses!$AO$6:$AO$205))</f>
        <v/>
      </c>
      <c r="L57" s="105" t="str">
        <f aca="false">IF(OR(B57="",Setup!$B$27=""),"",SUMPRODUCT((Expenses!$B$6:$B$205=$B57)*Expenses!$S$6:$S$205,Expenses!$AN$6:$AN$205/Expenses!$AO$6:$AO$205))</f>
        <v/>
      </c>
    </row>
    <row r="58" customFormat="false" ht="15" hidden="false" customHeight="false" outlineLevel="0" collapsed="false">
      <c r="B58" s="45" t="str">
        <f aca="false">Settings!$A$16&amp;""</f>
        <v>Travel insurance</v>
      </c>
      <c r="C58" s="105" t="str">
        <f aca="false">IF(OR(B58="",Setup!$B$18=""),"",SUMPRODUCT((Expenses!$B$6:$B$205=$B58)*Expenses!$S$6:$S$205,Expenses!$AE$6:$AE$205/Expenses!$AO$6:$AO$205))</f>
        <v/>
      </c>
      <c r="D58" s="105" t="str">
        <f aca="false">IF(OR(B58="",Setup!$B$19=""),"",SUMPRODUCT((Expenses!$B$6:$B$205=$B58)*Expenses!$S$6:$S$205,Expenses!$AF$6:$AF$205/Expenses!$AO$6:$AO$205))</f>
        <v/>
      </c>
      <c r="E58" s="105" t="str">
        <f aca="false">IF(OR(B58="",Setup!$B$20=""),"",SUMPRODUCT((Expenses!$B$6:$B$205=$B58)*Expenses!$S$6:$S$205,Expenses!$AG$6:$AG$205/Expenses!$AO$6:$AO$205))</f>
        <v/>
      </c>
      <c r="F58" s="105" t="str">
        <f aca="false">IF(OR(B58="",Setup!$B$21=""),"",SUMPRODUCT((Expenses!$B$6:$B$205=$B58)*Expenses!$S$6:$S$205,Expenses!$AH$6:$AH$205/Expenses!$AO$6:$AO$205))</f>
        <v/>
      </c>
      <c r="G58" s="105" t="str">
        <f aca="false">IF(OR(B58="",Setup!$B$22=""),"",SUMPRODUCT((Expenses!$B$6:$B$205=$B58)*Expenses!$S$6:$S$205,Expenses!$AI$6:$AI$205/Expenses!$AO$6:$AO$205))</f>
        <v/>
      </c>
      <c r="H58" s="105" t="str">
        <f aca="false">IF(OR(B58="",Setup!$B$23=""),"",SUMPRODUCT((Expenses!$B$6:$B$205=$B58)*Expenses!$S$6:$S$205,Expenses!$AJ$6:$AJ$205/Expenses!$AO$6:$AO$205))</f>
        <v/>
      </c>
      <c r="I58" s="105" t="str">
        <f aca="false">IF(OR(B58="",Setup!$B$24=""),"",SUMPRODUCT((Expenses!$B$6:$B$205=$B58)*Expenses!$S$6:$S$205,Expenses!$AK$6:$AK$205/Expenses!$AO$6:$AO$205))</f>
        <v/>
      </c>
      <c r="J58" s="105" t="str">
        <f aca="false">IF(OR(B58="",Setup!$B$25=""),"",SUMPRODUCT((Expenses!$B$6:$B$205=$B58)*Expenses!$S$6:$S$205,Expenses!$AL$6:$AL$205/Expenses!$AO$6:$AO$205))</f>
        <v/>
      </c>
      <c r="K58" s="105" t="str">
        <f aca="false">IF(OR(B58="",Setup!$B$26=""),"",SUMPRODUCT((Expenses!$B$6:$B$205=$B58)*Expenses!$S$6:$S$205,Expenses!$AM$6:$AM$205/Expenses!$AO$6:$AO$205))</f>
        <v/>
      </c>
      <c r="L58" s="105" t="str">
        <f aca="false">IF(OR(B58="",Setup!$B$27=""),"",SUMPRODUCT((Expenses!$B$6:$B$205=$B58)*Expenses!$S$6:$S$205,Expenses!$AN$6:$AN$205/Expenses!$AO$6:$AO$205))</f>
        <v/>
      </c>
    </row>
    <row r="59" customFormat="false" ht="15" hidden="false" customHeight="false" outlineLevel="0" collapsed="false">
      <c r="B59" s="45" t="str">
        <f aca="false">Settings!$A$17&amp;""</f>
        <v>SIM / eSIM &amp; internet</v>
      </c>
      <c r="C59" s="105" t="str">
        <f aca="false">IF(OR(B59="",Setup!$B$18=""),"",SUMPRODUCT((Expenses!$B$6:$B$205=$B59)*Expenses!$S$6:$S$205,Expenses!$AE$6:$AE$205/Expenses!$AO$6:$AO$205))</f>
        <v/>
      </c>
      <c r="D59" s="105" t="str">
        <f aca="false">IF(OR(B59="",Setup!$B$19=""),"",SUMPRODUCT((Expenses!$B$6:$B$205=$B59)*Expenses!$S$6:$S$205,Expenses!$AF$6:$AF$205/Expenses!$AO$6:$AO$205))</f>
        <v/>
      </c>
      <c r="E59" s="105" t="str">
        <f aca="false">IF(OR(B59="",Setup!$B$20=""),"",SUMPRODUCT((Expenses!$B$6:$B$205=$B59)*Expenses!$S$6:$S$205,Expenses!$AG$6:$AG$205/Expenses!$AO$6:$AO$205))</f>
        <v/>
      </c>
      <c r="F59" s="105" t="str">
        <f aca="false">IF(OR(B59="",Setup!$B$21=""),"",SUMPRODUCT((Expenses!$B$6:$B$205=$B59)*Expenses!$S$6:$S$205,Expenses!$AH$6:$AH$205/Expenses!$AO$6:$AO$205))</f>
        <v/>
      </c>
      <c r="G59" s="105" t="str">
        <f aca="false">IF(OR(B59="",Setup!$B$22=""),"",SUMPRODUCT((Expenses!$B$6:$B$205=$B59)*Expenses!$S$6:$S$205,Expenses!$AI$6:$AI$205/Expenses!$AO$6:$AO$205))</f>
        <v/>
      </c>
      <c r="H59" s="105" t="str">
        <f aca="false">IF(OR(B59="",Setup!$B$23=""),"",SUMPRODUCT((Expenses!$B$6:$B$205=$B59)*Expenses!$S$6:$S$205,Expenses!$AJ$6:$AJ$205/Expenses!$AO$6:$AO$205))</f>
        <v/>
      </c>
      <c r="I59" s="105" t="str">
        <f aca="false">IF(OR(B59="",Setup!$B$24=""),"",SUMPRODUCT((Expenses!$B$6:$B$205=$B59)*Expenses!$S$6:$S$205,Expenses!$AK$6:$AK$205/Expenses!$AO$6:$AO$205))</f>
        <v/>
      </c>
      <c r="J59" s="105" t="str">
        <f aca="false">IF(OR(B59="",Setup!$B$25=""),"",SUMPRODUCT((Expenses!$B$6:$B$205=$B59)*Expenses!$S$6:$S$205,Expenses!$AL$6:$AL$205/Expenses!$AO$6:$AO$205))</f>
        <v/>
      </c>
      <c r="K59" s="105" t="str">
        <f aca="false">IF(OR(B59="",Setup!$B$26=""),"",SUMPRODUCT((Expenses!$B$6:$B$205=$B59)*Expenses!$S$6:$S$205,Expenses!$AM$6:$AM$205/Expenses!$AO$6:$AO$205))</f>
        <v/>
      </c>
      <c r="L59" s="105" t="str">
        <f aca="false">IF(OR(B59="",Setup!$B$27=""),"",SUMPRODUCT((Expenses!$B$6:$B$205=$B59)*Expenses!$S$6:$S$205,Expenses!$AN$6:$AN$205/Expenses!$AO$6:$AO$205))</f>
        <v/>
      </c>
    </row>
    <row r="60" customFormat="false" ht="15" hidden="false" customHeight="false" outlineLevel="0" collapsed="false">
      <c r="B60" s="45" t="str">
        <f aca="false">Settings!$A$18&amp;""</f>
        <v>Forex &amp; bank fees</v>
      </c>
      <c r="C60" s="105" t="str">
        <f aca="false">IF(OR(B60="",Setup!$B$18=""),"",SUMPRODUCT((Expenses!$B$6:$B$205=$B60)*Expenses!$S$6:$S$205,Expenses!$AE$6:$AE$205/Expenses!$AO$6:$AO$205))</f>
        <v/>
      </c>
      <c r="D60" s="105" t="str">
        <f aca="false">IF(OR(B60="",Setup!$B$19=""),"",SUMPRODUCT((Expenses!$B$6:$B$205=$B60)*Expenses!$S$6:$S$205,Expenses!$AF$6:$AF$205/Expenses!$AO$6:$AO$205))</f>
        <v/>
      </c>
      <c r="E60" s="105" t="str">
        <f aca="false">IF(OR(B60="",Setup!$B$20=""),"",SUMPRODUCT((Expenses!$B$6:$B$205=$B60)*Expenses!$S$6:$S$205,Expenses!$AG$6:$AG$205/Expenses!$AO$6:$AO$205))</f>
        <v/>
      </c>
      <c r="F60" s="105" t="str">
        <f aca="false">IF(OR(B60="",Setup!$B$21=""),"",SUMPRODUCT((Expenses!$B$6:$B$205=$B60)*Expenses!$S$6:$S$205,Expenses!$AH$6:$AH$205/Expenses!$AO$6:$AO$205))</f>
        <v/>
      </c>
      <c r="G60" s="105" t="str">
        <f aca="false">IF(OR(B60="",Setup!$B$22=""),"",SUMPRODUCT((Expenses!$B$6:$B$205=$B60)*Expenses!$S$6:$S$205,Expenses!$AI$6:$AI$205/Expenses!$AO$6:$AO$205))</f>
        <v/>
      </c>
      <c r="H60" s="105" t="str">
        <f aca="false">IF(OR(B60="",Setup!$B$23=""),"",SUMPRODUCT((Expenses!$B$6:$B$205=$B60)*Expenses!$S$6:$S$205,Expenses!$AJ$6:$AJ$205/Expenses!$AO$6:$AO$205))</f>
        <v/>
      </c>
      <c r="I60" s="105" t="str">
        <f aca="false">IF(OR(B60="",Setup!$B$24=""),"",SUMPRODUCT((Expenses!$B$6:$B$205=$B60)*Expenses!$S$6:$S$205,Expenses!$AK$6:$AK$205/Expenses!$AO$6:$AO$205))</f>
        <v/>
      </c>
      <c r="J60" s="105" t="str">
        <f aca="false">IF(OR(B60="",Setup!$B$25=""),"",SUMPRODUCT((Expenses!$B$6:$B$205=$B60)*Expenses!$S$6:$S$205,Expenses!$AL$6:$AL$205/Expenses!$AO$6:$AO$205))</f>
        <v/>
      </c>
      <c r="K60" s="105" t="str">
        <f aca="false">IF(OR(B60="",Setup!$B$26=""),"",SUMPRODUCT((Expenses!$B$6:$B$205=$B60)*Expenses!$S$6:$S$205,Expenses!$AM$6:$AM$205/Expenses!$AO$6:$AO$205))</f>
        <v/>
      </c>
      <c r="L60" s="105" t="str">
        <f aca="false">IF(OR(B60="",Setup!$B$27=""),"",SUMPRODUCT((Expenses!$B$6:$B$205=$B60)*Expenses!$S$6:$S$205,Expenses!$AN$6:$AN$205/Expenses!$AO$6:$AO$205))</f>
        <v/>
      </c>
    </row>
    <row r="61" customFormat="false" ht="15" hidden="false" customHeight="false" outlineLevel="0" collapsed="false">
      <c r="B61" s="45" t="str">
        <f aca="false">Settings!$A$19&amp;""</f>
        <v>Tips &amp; service</v>
      </c>
      <c r="C61" s="105" t="str">
        <f aca="false">IF(OR(B61="",Setup!$B$18=""),"",SUMPRODUCT((Expenses!$B$6:$B$205=$B61)*Expenses!$S$6:$S$205,Expenses!$AE$6:$AE$205/Expenses!$AO$6:$AO$205))</f>
        <v/>
      </c>
      <c r="D61" s="105" t="str">
        <f aca="false">IF(OR(B61="",Setup!$B$19=""),"",SUMPRODUCT((Expenses!$B$6:$B$205=$B61)*Expenses!$S$6:$S$205,Expenses!$AF$6:$AF$205/Expenses!$AO$6:$AO$205))</f>
        <v/>
      </c>
      <c r="E61" s="105" t="str">
        <f aca="false">IF(OR(B61="",Setup!$B$20=""),"",SUMPRODUCT((Expenses!$B$6:$B$205=$B61)*Expenses!$S$6:$S$205,Expenses!$AG$6:$AG$205/Expenses!$AO$6:$AO$205))</f>
        <v/>
      </c>
      <c r="F61" s="105" t="str">
        <f aca="false">IF(OR(B61="",Setup!$B$21=""),"",SUMPRODUCT((Expenses!$B$6:$B$205=$B61)*Expenses!$S$6:$S$205,Expenses!$AH$6:$AH$205/Expenses!$AO$6:$AO$205))</f>
        <v/>
      </c>
      <c r="G61" s="105" t="str">
        <f aca="false">IF(OR(B61="",Setup!$B$22=""),"",SUMPRODUCT((Expenses!$B$6:$B$205=$B61)*Expenses!$S$6:$S$205,Expenses!$AI$6:$AI$205/Expenses!$AO$6:$AO$205))</f>
        <v/>
      </c>
      <c r="H61" s="105" t="str">
        <f aca="false">IF(OR(B61="",Setup!$B$23=""),"",SUMPRODUCT((Expenses!$B$6:$B$205=$B61)*Expenses!$S$6:$S$205,Expenses!$AJ$6:$AJ$205/Expenses!$AO$6:$AO$205))</f>
        <v/>
      </c>
      <c r="I61" s="105" t="str">
        <f aca="false">IF(OR(B61="",Setup!$B$24=""),"",SUMPRODUCT((Expenses!$B$6:$B$205=$B61)*Expenses!$S$6:$S$205,Expenses!$AK$6:$AK$205/Expenses!$AO$6:$AO$205))</f>
        <v/>
      </c>
      <c r="J61" s="105" t="str">
        <f aca="false">IF(OR(B61="",Setup!$B$25=""),"",SUMPRODUCT((Expenses!$B$6:$B$205=$B61)*Expenses!$S$6:$S$205,Expenses!$AL$6:$AL$205/Expenses!$AO$6:$AO$205))</f>
        <v/>
      </c>
      <c r="K61" s="105" t="str">
        <f aca="false">IF(OR(B61="",Setup!$B$26=""),"",SUMPRODUCT((Expenses!$B$6:$B$205=$B61)*Expenses!$S$6:$S$205,Expenses!$AM$6:$AM$205/Expenses!$AO$6:$AO$205))</f>
        <v/>
      </c>
      <c r="L61" s="105" t="str">
        <f aca="false">IF(OR(B61="",Setup!$B$27=""),"",SUMPRODUCT((Expenses!$B$6:$B$205=$B61)*Expenses!$S$6:$S$205,Expenses!$AN$6:$AN$205/Expenses!$AO$6:$AO$205))</f>
        <v/>
      </c>
    </row>
    <row r="62" customFormat="false" ht="15" hidden="false" customHeight="false" outlineLevel="0" collapsed="false">
      <c r="B62" s="45" t="str">
        <f aca="false">Settings!$A$20&amp;""</f>
        <v>Health &amp; pharmacy</v>
      </c>
      <c r="C62" s="105" t="str">
        <f aca="false">IF(OR(B62="",Setup!$B$18=""),"",SUMPRODUCT((Expenses!$B$6:$B$205=$B62)*Expenses!$S$6:$S$205,Expenses!$AE$6:$AE$205/Expenses!$AO$6:$AO$205))</f>
        <v/>
      </c>
      <c r="D62" s="105" t="str">
        <f aca="false">IF(OR(B62="",Setup!$B$19=""),"",SUMPRODUCT((Expenses!$B$6:$B$205=$B62)*Expenses!$S$6:$S$205,Expenses!$AF$6:$AF$205/Expenses!$AO$6:$AO$205))</f>
        <v/>
      </c>
      <c r="E62" s="105" t="str">
        <f aca="false">IF(OR(B62="",Setup!$B$20=""),"",SUMPRODUCT((Expenses!$B$6:$B$205=$B62)*Expenses!$S$6:$S$205,Expenses!$AG$6:$AG$205/Expenses!$AO$6:$AO$205))</f>
        <v/>
      </c>
      <c r="F62" s="105" t="str">
        <f aca="false">IF(OR(B62="",Setup!$B$21=""),"",SUMPRODUCT((Expenses!$B$6:$B$205=$B62)*Expenses!$S$6:$S$205,Expenses!$AH$6:$AH$205/Expenses!$AO$6:$AO$205))</f>
        <v/>
      </c>
      <c r="G62" s="105" t="str">
        <f aca="false">IF(OR(B62="",Setup!$B$22=""),"",SUMPRODUCT((Expenses!$B$6:$B$205=$B62)*Expenses!$S$6:$S$205,Expenses!$AI$6:$AI$205/Expenses!$AO$6:$AO$205))</f>
        <v/>
      </c>
      <c r="H62" s="105" t="str">
        <f aca="false">IF(OR(B62="",Setup!$B$23=""),"",SUMPRODUCT((Expenses!$B$6:$B$205=$B62)*Expenses!$S$6:$S$205,Expenses!$AJ$6:$AJ$205/Expenses!$AO$6:$AO$205))</f>
        <v/>
      </c>
      <c r="I62" s="105" t="str">
        <f aca="false">IF(OR(B62="",Setup!$B$24=""),"",SUMPRODUCT((Expenses!$B$6:$B$205=$B62)*Expenses!$S$6:$S$205,Expenses!$AK$6:$AK$205/Expenses!$AO$6:$AO$205))</f>
        <v/>
      </c>
      <c r="J62" s="105" t="str">
        <f aca="false">IF(OR(B62="",Setup!$B$25=""),"",SUMPRODUCT((Expenses!$B$6:$B$205=$B62)*Expenses!$S$6:$S$205,Expenses!$AL$6:$AL$205/Expenses!$AO$6:$AO$205))</f>
        <v/>
      </c>
      <c r="K62" s="105" t="str">
        <f aca="false">IF(OR(B62="",Setup!$B$26=""),"",SUMPRODUCT((Expenses!$B$6:$B$205=$B62)*Expenses!$S$6:$S$205,Expenses!$AM$6:$AM$205/Expenses!$AO$6:$AO$205))</f>
        <v/>
      </c>
      <c r="L62" s="105" t="str">
        <f aca="false">IF(OR(B62="",Setup!$B$27=""),"",SUMPRODUCT((Expenses!$B$6:$B$205=$B62)*Expenses!$S$6:$S$205,Expenses!$AN$6:$AN$205/Expenses!$AO$6:$AO$205))</f>
        <v/>
      </c>
    </row>
    <row r="63" customFormat="false" ht="15" hidden="false" customHeight="false" outlineLevel="0" collapsed="false">
      <c r="B63" s="45" t="str">
        <f aca="false">Settings!$A$21&amp;""</f>
        <v>Emergency / misc</v>
      </c>
      <c r="C63" s="105" t="str">
        <f aca="false">IF(OR(B63="",Setup!$B$18=""),"",SUMPRODUCT((Expenses!$B$6:$B$205=$B63)*Expenses!$S$6:$S$205,Expenses!$AE$6:$AE$205/Expenses!$AO$6:$AO$205))</f>
        <v/>
      </c>
      <c r="D63" s="105" t="str">
        <f aca="false">IF(OR(B63="",Setup!$B$19=""),"",SUMPRODUCT((Expenses!$B$6:$B$205=$B63)*Expenses!$S$6:$S$205,Expenses!$AF$6:$AF$205/Expenses!$AO$6:$AO$205))</f>
        <v/>
      </c>
      <c r="E63" s="105" t="str">
        <f aca="false">IF(OR(B63="",Setup!$B$20=""),"",SUMPRODUCT((Expenses!$B$6:$B$205=$B63)*Expenses!$S$6:$S$205,Expenses!$AG$6:$AG$205/Expenses!$AO$6:$AO$205))</f>
        <v/>
      </c>
      <c r="F63" s="105" t="str">
        <f aca="false">IF(OR(B63="",Setup!$B$21=""),"",SUMPRODUCT((Expenses!$B$6:$B$205=$B63)*Expenses!$S$6:$S$205,Expenses!$AH$6:$AH$205/Expenses!$AO$6:$AO$205))</f>
        <v/>
      </c>
      <c r="G63" s="105" t="str">
        <f aca="false">IF(OR(B63="",Setup!$B$22=""),"",SUMPRODUCT((Expenses!$B$6:$B$205=$B63)*Expenses!$S$6:$S$205,Expenses!$AI$6:$AI$205/Expenses!$AO$6:$AO$205))</f>
        <v/>
      </c>
      <c r="H63" s="105" t="str">
        <f aca="false">IF(OR(B63="",Setup!$B$23=""),"",SUMPRODUCT((Expenses!$B$6:$B$205=$B63)*Expenses!$S$6:$S$205,Expenses!$AJ$6:$AJ$205/Expenses!$AO$6:$AO$205))</f>
        <v/>
      </c>
      <c r="I63" s="105" t="str">
        <f aca="false">IF(OR(B63="",Setup!$B$24=""),"",SUMPRODUCT((Expenses!$B$6:$B$205=$B63)*Expenses!$S$6:$S$205,Expenses!$AK$6:$AK$205/Expenses!$AO$6:$AO$205))</f>
        <v/>
      </c>
      <c r="J63" s="105" t="str">
        <f aca="false">IF(OR(B63="",Setup!$B$25=""),"",SUMPRODUCT((Expenses!$B$6:$B$205=$B63)*Expenses!$S$6:$S$205,Expenses!$AL$6:$AL$205/Expenses!$AO$6:$AO$205))</f>
        <v/>
      </c>
      <c r="K63" s="105" t="str">
        <f aca="false">IF(OR(B63="",Setup!$B$26=""),"",SUMPRODUCT((Expenses!$B$6:$B$205=$B63)*Expenses!$S$6:$S$205,Expenses!$AM$6:$AM$205/Expenses!$AO$6:$AO$205))</f>
        <v/>
      </c>
      <c r="L63" s="105" t="str">
        <f aca="false">IF(OR(B63="",Setup!$B$27=""),"",SUMPRODUCT((Expenses!$B$6:$B$205=$B63)*Expenses!$S$6:$S$205,Expenses!$AN$6:$AN$205/Expenses!$AO$6:$AO$205))</f>
        <v/>
      </c>
    </row>
    <row r="64" customFormat="false" ht="15" hidden="false" customHeight="false" outlineLevel="0" collapsed="false">
      <c r="B64" s="45" t="str">
        <f aca="false">Settings!$A$22&amp;""</f>
        <v>Other</v>
      </c>
      <c r="C64" s="105" t="str">
        <f aca="false">IF(OR(B64="",Setup!$B$18=""),"",SUMPRODUCT((Expenses!$B$6:$B$205=$B64)*Expenses!$S$6:$S$205,Expenses!$AE$6:$AE$205/Expenses!$AO$6:$AO$205))</f>
        <v/>
      </c>
      <c r="D64" s="105" t="str">
        <f aca="false">IF(OR(B64="",Setup!$B$19=""),"",SUMPRODUCT((Expenses!$B$6:$B$205=$B64)*Expenses!$S$6:$S$205,Expenses!$AF$6:$AF$205/Expenses!$AO$6:$AO$205))</f>
        <v/>
      </c>
      <c r="E64" s="105" t="str">
        <f aca="false">IF(OR(B64="",Setup!$B$20=""),"",SUMPRODUCT((Expenses!$B$6:$B$205=$B64)*Expenses!$S$6:$S$205,Expenses!$AG$6:$AG$205/Expenses!$AO$6:$AO$205))</f>
        <v/>
      </c>
      <c r="F64" s="105" t="str">
        <f aca="false">IF(OR(B64="",Setup!$B$21=""),"",SUMPRODUCT((Expenses!$B$6:$B$205=$B64)*Expenses!$S$6:$S$205,Expenses!$AH$6:$AH$205/Expenses!$AO$6:$AO$205))</f>
        <v/>
      </c>
      <c r="G64" s="105" t="str">
        <f aca="false">IF(OR(B64="",Setup!$B$22=""),"",SUMPRODUCT((Expenses!$B$6:$B$205=$B64)*Expenses!$S$6:$S$205,Expenses!$AI$6:$AI$205/Expenses!$AO$6:$AO$205))</f>
        <v/>
      </c>
      <c r="H64" s="105" t="str">
        <f aca="false">IF(OR(B64="",Setup!$B$23=""),"",SUMPRODUCT((Expenses!$B$6:$B$205=$B64)*Expenses!$S$6:$S$205,Expenses!$AJ$6:$AJ$205/Expenses!$AO$6:$AO$205))</f>
        <v/>
      </c>
      <c r="I64" s="105" t="str">
        <f aca="false">IF(OR(B64="",Setup!$B$24=""),"",SUMPRODUCT((Expenses!$B$6:$B$205=$B64)*Expenses!$S$6:$S$205,Expenses!$AK$6:$AK$205/Expenses!$AO$6:$AO$205))</f>
        <v/>
      </c>
      <c r="J64" s="105" t="str">
        <f aca="false">IF(OR(B64="",Setup!$B$25=""),"",SUMPRODUCT((Expenses!$B$6:$B$205=$B64)*Expenses!$S$6:$S$205,Expenses!$AL$6:$AL$205/Expenses!$AO$6:$AO$205))</f>
        <v/>
      </c>
      <c r="K64" s="105" t="str">
        <f aca="false">IF(OR(B64="",Setup!$B$26=""),"",SUMPRODUCT((Expenses!$B$6:$B$205=$B64)*Expenses!$S$6:$S$205,Expenses!$AM$6:$AM$205/Expenses!$AO$6:$AO$205))</f>
        <v/>
      </c>
      <c r="L64" s="105" t="str">
        <f aca="false">IF(OR(B64="",Setup!$B$27=""),"",SUMPRODUCT((Expenses!$B$6:$B$205=$B64)*Expenses!$S$6:$S$205,Expenses!$AN$6:$AN$205/Expenses!$AO$6:$AO$205))</f>
        <v/>
      </c>
    </row>
    <row r="65" customFormat="false" ht="15" hidden="false" customHeight="false" outlineLevel="0" collapsed="false">
      <c r="B65" s="45" t="str">
        <f aca="false">Settings!$A$23&amp;""</f>
        <v/>
      </c>
      <c r="C65" s="105" t="str">
        <f aca="false">IF(OR(B65="",Setup!$B$18=""),"",SUMPRODUCT((Expenses!$B$6:$B$205=$B65)*Expenses!$S$6:$S$205,Expenses!$AE$6:$AE$205/Expenses!$AO$6:$AO$205))</f>
        <v/>
      </c>
      <c r="D65" s="105" t="str">
        <f aca="false">IF(OR(B65="",Setup!$B$19=""),"",SUMPRODUCT((Expenses!$B$6:$B$205=$B65)*Expenses!$S$6:$S$205,Expenses!$AF$6:$AF$205/Expenses!$AO$6:$AO$205))</f>
        <v/>
      </c>
      <c r="E65" s="105" t="str">
        <f aca="false">IF(OR(B65="",Setup!$B$20=""),"",SUMPRODUCT((Expenses!$B$6:$B$205=$B65)*Expenses!$S$6:$S$205,Expenses!$AG$6:$AG$205/Expenses!$AO$6:$AO$205))</f>
        <v/>
      </c>
      <c r="F65" s="105" t="str">
        <f aca="false">IF(OR(B65="",Setup!$B$21=""),"",SUMPRODUCT((Expenses!$B$6:$B$205=$B65)*Expenses!$S$6:$S$205,Expenses!$AH$6:$AH$205/Expenses!$AO$6:$AO$205))</f>
        <v/>
      </c>
      <c r="G65" s="105" t="str">
        <f aca="false">IF(OR(B65="",Setup!$B$22=""),"",SUMPRODUCT((Expenses!$B$6:$B$205=$B65)*Expenses!$S$6:$S$205,Expenses!$AI$6:$AI$205/Expenses!$AO$6:$AO$205))</f>
        <v/>
      </c>
      <c r="H65" s="105" t="str">
        <f aca="false">IF(OR(B65="",Setup!$B$23=""),"",SUMPRODUCT((Expenses!$B$6:$B$205=$B65)*Expenses!$S$6:$S$205,Expenses!$AJ$6:$AJ$205/Expenses!$AO$6:$AO$205))</f>
        <v/>
      </c>
      <c r="I65" s="105" t="str">
        <f aca="false">IF(OR(B65="",Setup!$B$24=""),"",SUMPRODUCT((Expenses!$B$6:$B$205=$B65)*Expenses!$S$6:$S$205,Expenses!$AK$6:$AK$205/Expenses!$AO$6:$AO$205))</f>
        <v/>
      </c>
      <c r="J65" s="105" t="str">
        <f aca="false">IF(OR(B65="",Setup!$B$25=""),"",SUMPRODUCT((Expenses!$B$6:$B$205=$B65)*Expenses!$S$6:$S$205,Expenses!$AL$6:$AL$205/Expenses!$AO$6:$AO$205))</f>
        <v/>
      </c>
      <c r="K65" s="105" t="str">
        <f aca="false">IF(OR(B65="",Setup!$B$26=""),"",SUMPRODUCT((Expenses!$B$6:$B$205=$B65)*Expenses!$S$6:$S$205,Expenses!$AM$6:$AM$205/Expenses!$AO$6:$AO$205))</f>
        <v/>
      </c>
      <c r="L65" s="105" t="str">
        <f aca="false">IF(OR(B65="",Setup!$B$27=""),"",SUMPRODUCT((Expenses!$B$6:$B$205=$B65)*Expenses!$S$6:$S$205,Expenses!$AN$6:$AN$205/Expenses!$AO$6:$AO$205))</f>
        <v/>
      </c>
    </row>
    <row r="66" customFormat="false" ht="15" hidden="false" customHeight="false" outlineLevel="0" collapsed="false">
      <c r="B66" s="45" t="str">
        <f aca="false">Settings!$A$24&amp;""</f>
        <v/>
      </c>
      <c r="C66" s="105" t="str">
        <f aca="false">IF(OR(B66="",Setup!$B$18=""),"",SUMPRODUCT((Expenses!$B$6:$B$205=$B66)*Expenses!$S$6:$S$205,Expenses!$AE$6:$AE$205/Expenses!$AO$6:$AO$205))</f>
        <v/>
      </c>
      <c r="D66" s="105" t="str">
        <f aca="false">IF(OR(B66="",Setup!$B$19=""),"",SUMPRODUCT((Expenses!$B$6:$B$205=$B66)*Expenses!$S$6:$S$205,Expenses!$AF$6:$AF$205/Expenses!$AO$6:$AO$205))</f>
        <v/>
      </c>
      <c r="E66" s="105" t="str">
        <f aca="false">IF(OR(B66="",Setup!$B$20=""),"",SUMPRODUCT((Expenses!$B$6:$B$205=$B66)*Expenses!$S$6:$S$205,Expenses!$AG$6:$AG$205/Expenses!$AO$6:$AO$205))</f>
        <v/>
      </c>
      <c r="F66" s="105" t="str">
        <f aca="false">IF(OR(B66="",Setup!$B$21=""),"",SUMPRODUCT((Expenses!$B$6:$B$205=$B66)*Expenses!$S$6:$S$205,Expenses!$AH$6:$AH$205/Expenses!$AO$6:$AO$205))</f>
        <v/>
      </c>
      <c r="G66" s="105" t="str">
        <f aca="false">IF(OR(B66="",Setup!$B$22=""),"",SUMPRODUCT((Expenses!$B$6:$B$205=$B66)*Expenses!$S$6:$S$205,Expenses!$AI$6:$AI$205/Expenses!$AO$6:$AO$205))</f>
        <v/>
      </c>
      <c r="H66" s="105" t="str">
        <f aca="false">IF(OR(B66="",Setup!$B$23=""),"",SUMPRODUCT((Expenses!$B$6:$B$205=$B66)*Expenses!$S$6:$S$205,Expenses!$AJ$6:$AJ$205/Expenses!$AO$6:$AO$205))</f>
        <v/>
      </c>
      <c r="I66" s="105" t="str">
        <f aca="false">IF(OR(B66="",Setup!$B$24=""),"",SUMPRODUCT((Expenses!$B$6:$B$205=$B66)*Expenses!$S$6:$S$205,Expenses!$AK$6:$AK$205/Expenses!$AO$6:$AO$205))</f>
        <v/>
      </c>
      <c r="J66" s="105" t="str">
        <f aca="false">IF(OR(B66="",Setup!$B$25=""),"",SUMPRODUCT((Expenses!$B$6:$B$205=$B66)*Expenses!$S$6:$S$205,Expenses!$AL$6:$AL$205/Expenses!$AO$6:$AO$205))</f>
        <v/>
      </c>
      <c r="K66" s="105" t="str">
        <f aca="false">IF(OR(B66="",Setup!$B$26=""),"",SUMPRODUCT((Expenses!$B$6:$B$205=$B66)*Expenses!$S$6:$S$205,Expenses!$AM$6:$AM$205/Expenses!$AO$6:$AO$205))</f>
        <v/>
      </c>
      <c r="L66" s="105" t="str">
        <f aca="false">IF(OR(B66="",Setup!$B$27=""),"",SUMPRODUCT((Expenses!$B$6:$B$205=$B66)*Expenses!$S$6:$S$205,Expenses!$AN$6:$AN$205/Expenses!$AO$6:$AO$205))</f>
        <v/>
      </c>
    </row>
    <row r="67" customFormat="false" ht="15" hidden="false" customHeight="false" outlineLevel="0" collapsed="false">
      <c r="B67" s="45" t="str">
        <f aca="false">Settings!$A$25&amp;""</f>
        <v/>
      </c>
      <c r="C67" s="105" t="str">
        <f aca="false">IF(OR(B67="",Setup!$B$18=""),"",SUMPRODUCT((Expenses!$B$6:$B$205=$B67)*Expenses!$S$6:$S$205,Expenses!$AE$6:$AE$205/Expenses!$AO$6:$AO$205))</f>
        <v/>
      </c>
      <c r="D67" s="105" t="str">
        <f aca="false">IF(OR(B67="",Setup!$B$19=""),"",SUMPRODUCT((Expenses!$B$6:$B$205=$B67)*Expenses!$S$6:$S$205,Expenses!$AF$6:$AF$205/Expenses!$AO$6:$AO$205))</f>
        <v/>
      </c>
      <c r="E67" s="105" t="str">
        <f aca="false">IF(OR(B67="",Setup!$B$20=""),"",SUMPRODUCT((Expenses!$B$6:$B$205=$B67)*Expenses!$S$6:$S$205,Expenses!$AG$6:$AG$205/Expenses!$AO$6:$AO$205))</f>
        <v/>
      </c>
      <c r="F67" s="105" t="str">
        <f aca="false">IF(OR(B67="",Setup!$B$21=""),"",SUMPRODUCT((Expenses!$B$6:$B$205=$B67)*Expenses!$S$6:$S$205,Expenses!$AH$6:$AH$205/Expenses!$AO$6:$AO$205))</f>
        <v/>
      </c>
      <c r="G67" s="105" t="str">
        <f aca="false">IF(OR(B67="",Setup!$B$22=""),"",SUMPRODUCT((Expenses!$B$6:$B$205=$B67)*Expenses!$S$6:$S$205,Expenses!$AI$6:$AI$205/Expenses!$AO$6:$AO$205))</f>
        <v/>
      </c>
      <c r="H67" s="105" t="str">
        <f aca="false">IF(OR(B67="",Setup!$B$23=""),"",SUMPRODUCT((Expenses!$B$6:$B$205=$B67)*Expenses!$S$6:$S$205,Expenses!$AJ$6:$AJ$205/Expenses!$AO$6:$AO$205))</f>
        <v/>
      </c>
      <c r="I67" s="105" t="str">
        <f aca="false">IF(OR(B67="",Setup!$B$24=""),"",SUMPRODUCT((Expenses!$B$6:$B$205=$B67)*Expenses!$S$6:$S$205,Expenses!$AK$6:$AK$205/Expenses!$AO$6:$AO$205))</f>
        <v/>
      </c>
      <c r="J67" s="105" t="str">
        <f aca="false">IF(OR(B67="",Setup!$B$25=""),"",SUMPRODUCT((Expenses!$B$6:$B$205=$B67)*Expenses!$S$6:$S$205,Expenses!$AL$6:$AL$205/Expenses!$AO$6:$AO$205))</f>
        <v/>
      </c>
      <c r="K67" s="105" t="str">
        <f aca="false">IF(OR(B67="",Setup!$B$26=""),"",SUMPRODUCT((Expenses!$B$6:$B$205=$B67)*Expenses!$S$6:$S$205,Expenses!$AM$6:$AM$205/Expenses!$AO$6:$AO$205))</f>
        <v/>
      </c>
      <c r="L67" s="105" t="str">
        <f aca="false">IF(OR(B67="",Setup!$B$27=""),"",SUMPRODUCT((Expenses!$B$6:$B$205=$B67)*Expenses!$S$6:$S$205,Expenses!$AN$6:$AN$205/Expenses!$AO$6:$AO$205))</f>
        <v/>
      </c>
    </row>
    <row r="68" customFormat="false" ht="15" hidden="false" customHeight="false" outlineLevel="0" collapsed="false">
      <c r="B68" s="45" t="str">
        <f aca="false">Settings!$A$26&amp;""</f>
        <v/>
      </c>
      <c r="C68" s="105" t="str">
        <f aca="false">IF(OR(B68="",Setup!$B$18=""),"",SUMPRODUCT((Expenses!$B$6:$B$205=$B68)*Expenses!$S$6:$S$205,Expenses!$AE$6:$AE$205/Expenses!$AO$6:$AO$205))</f>
        <v/>
      </c>
      <c r="D68" s="105" t="str">
        <f aca="false">IF(OR(B68="",Setup!$B$19=""),"",SUMPRODUCT((Expenses!$B$6:$B$205=$B68)*Expenses!$S$6:$S$205,Expenses!$AF$6:$AF$205/Expenses!$AO$6:$AO$205))</f>
        <v/>
      </c>
      <c r="E68" s="105" t="str">
        <f aca="false">IF(OR(B68="",Setup!$B$20=""),"",SUMPRODUCT((Expenses!$B$6:$B$205=$B68)*Expenses!$S$6:$S$205,Expenses!$AG$6:$AG$205/Expenses!$AO$6:$AO$205))</f>
        <v/>
      </c>
      <c r="F68" s="105" t="str">
        <f aca="false">IF(OR(B68="",Setup!$B$21=""),"",SUMPRODUCT((Expenses!$B$6:$B$205=$B68)*Expenses!$S$6:$S$205,Expenses!$AH$6:$AH$205/Expenses!$AO$6:$AO$205))</f>
        <v/>
      </c>
      <c r="G68" s="105" t="str">
        <f aca="false">IF(OR(B68="",Setup!$B$22=""),"",SUMPRODUCT((Expenses!$B$6:$B$205=$B68)*Expenses!$S$6:$S$205,Expenses!$AI$6:$AI$205/Expenses!$AO$6:$AO$205))</f>
        <v/>
      </c>
      <c r="H68" s="105" t="str">
        <f aca="false">IF(OR(B68="",Setup!$B$23=""),"",SUMPRODUCT((Expenses!$B$6:$B$205=$B68)*Expenses!$S$6:$S$205,Expenses!$AJ$6:$AJ$205/Expenses!$AO$6:$AO$205))</f>
        <v/>
      </c>
      <c r="I68" s="105" t="str">
        <f aca="false">IF(OR(B68="",Setup!$B$24=""),"",SUMPRODUCT((Expenses!$B$6:$B$205=$B68)*Expenses!$S$6:$S$205,Expenses!$AK$6:$AK$205/Expenses!$AO$6:$AO$205))</f>
        <v/>
      </c>
      <c r="J68" s="105" t="str">
        <f aca="false">IF(OR(B68="",Setup!$B$25=""),"",SUMPRODUCT((Expenses!$B$6:$B$205=$B68)*Expenses!$S$6:$S$205,Expenses!$AL$6:$AL$205/Expenses!$AO$6:$AO$205))</f>
        <v/>
      </c>
      <c r="K68" s="105" t="str">
        <f aca="false">IF(OR(B68="",Setup!$B$26=""),"",SUMPRODUCT((Expenses!$B$6:$B$205=$B68)*Expenses!$S$6:$S$205,Expenses!$AM$6:$AM$205/Expenses!$AO$6:$AO$205))</f>
        <v/>
      </c>
      <c r="L68" s="105" t="str">
        <f aca="false">IF(OR(B68="",Setup!$B$27=""),"",SUMPRODUCT((Expenses!$B$6:$B$205=$B68)*Expenses!$S$6:$S$205,Expenses!$AN$6:$AN$205/Expenses!$AO$6:$AO$205))</f>
        <v/>
      </c>
    </row>
    <row r="69" customFormat="false" ht="15" hidden="false" customHeight="false" outlineLevel="0" collapsed="false">
      <c r="B69" s="45" t="str">
        <f aca="false">Settings!$A$27&amp;""</f>
        <v/>
      </c>
      <c r="C69" s="105" t="str">
        <f aca="false">IF(OR(B69="",Setup!$B$18=""),"",SUMPRODUCT((Expenses!$B$6:$B$205=$B69)*Expenses!$S$6:$S$205,Expenses!$AE$6:$AE$205/Expenses!$AO$6:$AO$205))</f>
        <v/>
      </c>
      <c r="D69" s="105" t="str">
        <f aca="false">IF(OR(B69="",Setup!$B$19=""),"",SUMPRODUCT((Expenses!$B$6:$B$205=$B69)*Expenses!$S$6:$S$205,Expenses!$AF$6:$AF$205/Expenses!$AO$6:$AO$205))</f>
        <v/>
      </c>
      <c r="E69" s="105" t="str">
        <f aca="false">IF(OR(B69="",Setup!$B$20=""),"",SUMPRODUCT((Expenses!$B$6:$B$205=$B69)*Expenses!$S$6:$S$205,Expenses!$AG$6:$AG$205/Expenses!$AO$6:$AO$205))</f>
        <v/>
      </c>
      <c r="F69" s="105" t="str">
        <f aca="false">IF(OR(B69="",Setup!$B$21=""),"",SUMPRODUCT((Expenses!$B$6:$B$205=$B69)*Expenses!$S$6:$S$205,Expenses!$AH$6:$AH$205/Expenses!$AO$6:$AO$205))</f>
        <v/>
      </c>
      <c r="G69" s="105" t="str">
        <f aca="false">IF(OR(B69="",Setup!$B$22=""),"",SUMPRODUCT((Expenses!$B$6:$B$205=$B69)*Expenses!$S$6:$S$205,Expenses!$AI$6:$AI$205/Expenses!$AO$6:$AO$205))</f>
        <v/>
      </c>
      <c r="H69" s="105" t="str">
        <f aca="false">IF(OR(B69="",Setup!$B$23=""),"",SUMPRODUCT((Expenses!$B$6:$B$205=$B69)*Expenses!$S$6:$S$205,Expenses!$AJ$6:$AJ$205/Expenses!$AO$6:$AO$205))</f>
        <v/>
      </c>
      <c r="I69" s="105" t="str">
        <f aca="false">IF(OR(B69="",Setup!$B$24=""),"",SUMPRODUCT((Expenses!$B$6:$B$205=$B69)*Expenses!$S$6:$S$205,Expenses!$AK$6:$AK$205/Expenses!$AO$6:$AO$205))</f>
        <v/>
      </c>
      <c r="J69" s="105" t="str">
        <f aca="false">IF(OR(B69="",Setup!$B$25=""),"",SUMPRODUCT((Expenses!$B$6:$B$205=$B69)*Expenses!$S$6:$S$205,Expenses!$AL$6:$AL$205/Expenses!$AO$6:$AO$205))</f>
        <v/>
      </c>
      <c r="K69" s="105" t="str">
        <f aca="false">IF(OR(B69="",Setup!$B$26=""),"",SUMPRODUCT((Expenses!$B$6:$B$205=$B69)*Expenses!$S$6:$S$205,Expenses!$AM$6:$AM$205/Expenses!$AO$6:$AO$205))</f>
        <v/>
      </c>
      <c r="L69" s="105" t="str">
        <f aca="false">IF(OR(B69="",Setup!$B$27=""),"",SUMPRODUCT((Expenses!$B$6:$B$205=$B69)*Expenses!$S$6:$S$205,Expenses!$AN$6:$AN$205/Expenses!$AO$6:$AO$205))</f>
        <v/>
      </c>
    </row>
    <row r="70" customFormat="false" ht="15" hidden="false" customHeight="false" outlineLevel="0" collapsed="false">
      <c r="B70" s="45" t="str">
        <f aca="false">Settings!$A$28&amp;""</f>
        <v/>
      </c>
      <c r="C70" s="105" t="str">
        <f aca="false">IF(OR(B70="",Setup!$B$18=""),"",SUMPRODUCT((Expenses!$B$6:$B$205=$B70)*Expenses!$S$6:$S$205,Expenses!$AE$6:$AE$205/Expenses!$AO$6:$AO$205))</f>
        <v/>
      </c>
      <c r="D70" s="105" t="str">
        <f aca="false">IF(OR(B70="",Setup!$B$19=""),"",SUMPRODUCT((Expenses!$B$6:$B$205=$B70)*Expenses!$S$6:$S$205,Expenses!$AF$6:$AF$205/Expenses!$AO$6:$AO$205))</f>
        <v/>
      </c>
      <c r="E70" s="105" t="str">
        <f aca="false">IF(OR(B70="",Setup!$B$20=""),"",SUMPRODUCT((Expenses!$B$6:$B$205=$B70)*Expenses!$S$6:$S$205,Expenses!$AG$6:$AG$205/Expenses!$AO$6:$AO$205))</f>
        <v/>
      </c>
      <c r="F70" s="105" t="str">
        <f aca="false">IF(OR(B70="",Setup!$B$21=""),"",SUMPRODUCT((Expenses!$B$6:$B$205=$B70)*Expenses!$S$6:$S$205,Expenses!$AH$6:$AH$205/Expenses!$AO$6:$AO$205))</f>
        <v/>
      </c>
      <c r="G70" s="105" t="str">
        <f aca="false">IF(OR(B70="",Setup!$B$22=""),"",SUMPRODUCT((Expenses!$B$6:$B$205=$B70)*Expenses!$S$6:$S$205,Expenses!$AI$6:$AI$205/Expenses!$AO$6:$AO$205))</f>
        <v/>
      </c>
      <c r="H70" s="105" t="str">
        <f aca="false">IF(OR(B70="",Setup!$B$23=""),"",SUMPRODUCT((Expenses!$B$6:$B$205=$B70)*Expenses!$S$6:$S$205,Expenses!$AJ$6:$AJ$205/Expenses!$AO$6:$AO$205))</f>
        <v/>
      </c>
      <c r="I70" s="105" t="str">
        <f aca="false">IF(OR(B70="",Setup!$B$24=""),"",SUMPRODUCT((Expenses!$B$6:$B$205=$B70)*Expenses!$S$6:$S$205,Expenses!$AK$6:$AK$205/Expenses!$AO$6:$AO$205))</f>
        <v/>
      </c>
      <c r="J70" s="105" t="str">
        <f aca="false">IF(OR(B70="",Setup!$B$25=""),"",SUMPRODUCT((Expenses!$B$6:$B$205=$B70)*Expenses!$S$6:$S$205,Expenses!$AL$6:$AL$205/Expenses!$AO$6:$AO$205))</f>
        <v/>
      </c>
      <c r="K70" s="105" t="str">
        <f aca="false">IF(OR(B70="",Setup!$B$26=""),"",SUMPRODUCT((Expenses!$B$6:$B$205=$B70)*Expenses!$S$6:$S$205,Expenses!$AM$6:$AM$205/Expenses!$AO$6:$AO$205))</f>
        <v/>
      </c>
      <c r="L70" s="105" t="str">
        <f aca="false">IF(OR(B70="",Setup!$B$27=""),"",SUMPRODUCT((Expenses!$B$6:$B$205=$B70)*Expenses!$S$6:$S$205,Expenses!$AN$6:$AN$205/Expenses!$AO$6:$AO$205))</f>
        <v/>
      </c>
    </row>
    <row r="71" customFormat="false" ht="15" hidden="false" customHeight="false" outlineLevel="0" collapsed="false">
      <c r="B71" s="45" t="str">
        <f aca="false">Settings!$A$29&amp;""</f>
        <v/>
      </c>
      <c r="C71" s="105" t="str">
        <f aca="false">IF(OR(B71="",Setup!$B$18=""),"",SUMPRODUCT((Expenses!$B$6:$B$205=$B71)*Expenses!$S$6:$S$205,Expenses!$AE$6:$AE$205/Expenses!$AO$6:$AO$205))</f>
        <v/>
      </c>
      <c r="D71" s="105" t="str">
        <f aca="false">IF(OR(B71="",Setup!$B$19=""),"",SUMPRODUCT((Expenses!$B$6:$B$205=$B71)*Expenses!$S$6:$S$205,Expenses!$AF$6:$AF$205/Expenses!$AO$6:$AO$205))</f>
        <v/>
      </c>
      <c r="E71" s="105" t="str">
        <f aca="false">IF(OR(B71="",Setup!$B$20=""),"",SUMPRODUCT((Expenses!$B$6:$B$205=$B71)*Expenses!$S$6:$S$205,Expenses!$AG$6:$AG$205/Expenses!$AO$6:$AO$205))</f>
        <v/>
      </c>
      <c r="F71" s="105" t="str">
        <f aca="false">IF(OR(B71="",Setup!$B$21=""),"",SUMPRODUCT((Expenses!$B$6:$B$205=$B71)*Expenses!$S$6:$S$205,Expenses!$AH$6:$AH$205/Expenses!$AO$6:$AO$205))</f>
        <v/>
      </c>
      <c r="G71" s="105" t="str">
        <f aca="false">IF(OR(B71="",Setup!$B$22=""),"",SUMPRODUCT((Expenses!$B$6:$B$205=$B71)*Expenses!$S$6:$S$205,Expenses!$AI$6:$AI$205/Expenses!$AO$6:$AO$205))</f>
        <v/>
      </c>
      <c r="H71" s="105" t="str">
        <f aca="false">IF(OR(B71="",Setup!$B$23=""),"",SUMPRODUCT((Expenses!$B$6:$B$205=$B71)*Expenses!$S$6:$S$205,Expenses!$AJ$6:$AJ$205/Expenses!$AO$6:$AO$205))</f>
        <v/>
      </c>
      <c r="I71" s="105" t="str">
        <f aca="false">IF(OR(B71="",Setup!$B$24=""),"",SUMPRODUCT((Expenses!$B$6:$B$205=$B71)*Expenses!$S$6:$S$205,Expenses!$AK$6:$AK$205/Expenses!$AO$6:$AO$205))</f>
        <v/>
      </c>
      <c r="J71" s="105" t="str">
        <f aca="false">IF(OR(B71="",Setup!$B$25=""),"",SUMPRODUCT((Expenses!$B$6:$B$205=$B71)*Expenses!$S$6:$S$205,Expenses!$AL$6:$AL$205/Expenses!$AO$6:$AO$205))</f>
        <v/>
      </c>
      <c r="K71" s="105" t="str">
        <f aca="false">IF(OR(B71="",Setup!$B$26=""),"",SUMPRODUCT((Expenses!$B$6:$B$205=$B71)*Expenses!$S$6:$S$205,Expenses!$AM$6:$AM$205/Expenses!$AO$6:$AO$205))</f>
        <v/>
      </c>
      <c r="L71" s="105" t="str">
        <f aca="false">IF(OR(B71="",Setup!$B$27=""),"",SUMPRODUCT((Expenses!$B$6:$B$205=$B71)*Expenses!$S$6:$S$205,Expenses!$AN$6:$AN$205/Expenses!$AO$6:$AO$205))</f>
        <v/>
      </c>
    </row>
  </sheetData>
  <sheetProtection sheet="true" password="ecf5" formatRows="false"/>
  <mergeCells count="13"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</mergeCells>
  <conditionalFormatting sqref="H7:H16">
    <cfRule type="expression" priority="2" aboveAverage="0" equalAverage="0" bottom="0" percent="0" rank="0" text="" dxfId="3">
      <formula>LEFT($H7,1)="▼"</formula>
    </cfRule>
    <cfRule type="expression" priority="3" aboveAverage="0" equalAverage="0" bottom="0" percent="0" rank="0" text="" dxfId="1">
      <formula>LEFT($H7,1)="▲"</formula>
    </cfRule>
  </conditionalFormatting>
  <conditionalFormatting sqref="H21:H25">
    <cfRule type="expression" priority="4" aboveAverage="0" equalAverage="0" bottom="0" percent="0" rank="0" text="" dxfId="3">
      <formula>LEFT($H21,1)="▼"</formula>
    </cfRule>
    <cfRule type="expression" priority="5" aboveAverage="0" equalAverage="0" bottom="0" percent="0" rank="0" text="" dxfId="1">
      <formula>LEFT($H21,1)="▲"</formula>
    </cfRule>
  </conditionalFormatting>
  <dataValidations count="1">
    <dataValidation allowBlank="true" error="Please pick from the list (click the ▼ arrow)." errorStyle="stop" errorTitle="Pick from the list" operator="between" prompt="People = each person settles. Groups = couples/families settle as one." promptTitle="Settle by" showDropDown="false" showErrorMessage="true" showInputMessage="true" sqref="C4" type="list">
      <formula1>SettleList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0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6" min="3" style="0" width="24"/>
  </cols>
  <sheetData>
    <row r="1" customFormat="false" ht="33.75" hidden="false" customHeight="true" outlineLevel="0" collapsed="false">
      <c r="A1" s="16" t="s">
        <v>58</v>
      </c>
      <c r="B1" s="17" t="s">
        <v>237</v>
      </c>
    </row>
    <row r="2" customFormat="false" ht="15" hidden="false" customHeight="false" outlineLevel="0" collapsed="false">
      <c r="B2" s="18" t="s">
        <v>238</v>
      </c>
    </row>
    <row r="4" customFormat="false" ht="15" hidden="false" customHeight="false" outlineLevel="0" collapsed="false">
      <c r="B4" s="20" t="s">
        <v>239</v>
      </c>
      <c r="C4" s="122" t="n">
        <f aca="false">IF(N(TripDays)=0,7,TripDays)</f>
        <v>7</v>
      </c>
    </row>
    <row r="5" customFormat="false" ht="15" hidden="false" customHeight="false" outlineLevel="0" collapsed="false">
      <c r="B5" s="20" t="s">
        <v>240</v>
      </c>
      <c r="C5" s="122" t="n">
        <f aca="false">MAX(1,TravCount)</f>
        <v>1</v>
      </c>
    </row>
    <row r="6" customFormat="false" ht="15" hidden="false" customHeight="false" outlineLevel="0" collapsed="false">
      <c r="B6" s="20" t="s">
        <v>74</v>
      </c>
      <c r="C6" s="21" t="str">
        <f aca="false">TripStyle</f>
        <v>Mid-range</v>
      </c>
    </row>
    <row r="7" customFormat="false" ht="15" hidden="false" customHeight="false" outlineLevel="0" collapsed="false">
      <c r="B7" s="20" t="s">
        <v>69</v>
      </c>
      <c r="C7" s="21" t="str">
        <f aca="false">TripOrigin</f>
        <v>India</v>
      </c>
    </row>
    <row r="9" customFormat="false" ht="15" hidden="false" customHeight="false" outlineLevel="0" collapsed="false">
      <c r="B9" s="10" t="s">
        <v>64</v>
      </c>
      <c r="C9" s="123" t="str">
        <f aca="false">IF(Setup!$G$6="","Thailand",Setup!$G$6)</f>
        <v>Thailand</v>
      </c>
      <c r="D9" s="124" t="s">
        <v>241</v>
      </c>
      <c r="E9" s="124" t="s">
        <v>242</v>
      </c>
      <c r="F9" s="124" t="s">
        <v>243</v>
      </c>
    </row>
    <row r="10" customFormat="false" ht="15" hidden="true" customHeight="false" outlineLevel="0" collapsed="false">
      <c r="C10" s="60" t="n">
        <f aca="false">IFERROR(MATCH(C9,'Country Data'!$A$5:$A$84,0),"")</f>
        <v>1</v>
      </c>
      <c r="D10" s="60" t="n">
        <f aca="false">IFERROR(MATCH(D9,'Country Data'!$A$5:$A$84,0),"")</f>
        <v>3</v>
      </c>
      <c r="E10" s="60" t="n">
        <f aca="false">IFERROR(MATCH(E9,'Country Data'!$A$5:$A$84,0),"")</f>
        <v>14</v>
      </c>
      <c r="F10" s="60" t="n">
        <f aca="false">IFERROR(MATCH(F9,'Country Data'!$A$5:$A$84,0),"")</f>
        <v>9</v>
      </c>
    </row>
    <row r="11" customFormat="false" ht="15" hidden="false" customHeight="false" outlineLevel="0" collapsed="false">
      <c r="B11" s="125" t="s">
        <v>244</v>
      </c>
      <c r="C11" s="105" t="n">
        <f aca="false">IF(C$10="","",ROUND(IF(IFERROR(INDEX(Settings!$P$5:$P$10,MATCH($C$7,Settings!$N$5:$N$10,0)),"India")="UAE",INDEX('Country Data'!$J$5:$J$84,C$10),INDEX('Country Data'!$I$5:$I$84,C$10))*$C$5*IFERROR(INDEX(Settings!$L$5:$L$10,MATCH($C$6,Settings!$J$5:$J$10,0)),1)/HomeINR,-2))</f>
        <v>22000</v>
      </c>
      <c r="D11" s="105" t="n">
        <f aca="false">IF(D$10="","",ROUND(IF(IFERROR(INDEX(Settings!$P$5:$P$10,MATCH($C$7,Settings!$N$5:$N$10,0)),"India")="UAE",INDEX('Country Data'!$J$5:$J$84,D$10),INDEX('Country Data'!$I$5:$I$84,D$10))*$C$5*IFERROR(INDEX(Settings!$L$5:$L$10,MATCH($C$6,Settings!$J$5:$J$10,0)),1)/HomeINR,-2))</f>
        <v>24000</v>
      </c>
      <c r="E11" s="105" t="n">
        <f aca="false">IF(E$10="","",ROUND(IF(IFERROR(INDEX(Settings!$P$5:$P$10,MATCH($C$7,Settings!$N$5:$N$10,0)),"India")="UAE",INDEX('Country Data'!$J$5:$J$84,E$10),INDEX('Country Data'!$I$5:$I$84,E$10))*$C$5*IFERROR(INDEX(Settings!$L$5:$L$10,MATCH($C$6,Settings!$J$5:$J$10,0)),1)/HomeINR,-2))</f>
        <v>32000</v>
      </c>
      <c r="F11" s="105" t="n">
        <f aca="false">IF(F$10="","",ROUND(IF(IFERROR(INDEX(Settings!$P$5:$P$10,MATCH($C$7,Settings!$N$5:$N$10,0)),"India")="UAE",INDEX('Country Data'!$J$5:$J$84,F$10),INDEX('Country Data'!$I$5:$I$84,F$10))*$C$5*IFERROR(INDEX(Settings!$L$5:$L$10,MATCH($C$6,Settings!$J$5:$J$10,0)),1)/HomeINR,-2))</f>
        <v>52000</v>
      </c>
    </row>
    <row r="12" customFormat="false" ht="15" hidden="false" customHeight="false" outlineLevel="0" collapsed="false">
      <c r="B12" s="125" t="s">
        <v>245</v>
      </c>
      <c r="C12" s="105" t="n">
        <f aca="false">IF(C$10="","",ROUND(INDEX('Country Data'!$K$5:$K$84,C$10)*MAX(1,$C$4-1)*$C$5*IFERROR(INDEX(Settings!$K$5:$K$10,MATCH($C$6,Settings!$J$5:$J$10,0)),1)/HomeINR,-2))</f>
        <v>16800</v>
      </c>
      <c r="D12" s="105" t="n">
        <f aca="false">IF(D$10="","",ROUND(INDEX('Country Data'!$K$5:$K$84,D$10)*MAX(1,$C$4-1)*$C$5*IFERROR(INDEX(Settings!$K$5:$K$10,MATCH($C$6,Settings!$J$5:$J$10,0)),1)/HomeINR,-2))</f>
        <v>13200</v>
      </c>
      <c r="E12" s="105" t="n">
        <f aca="false">IF(E$10="","",ROUND(INDEX('Country Data'!$K$5:$K$84,E$10)*MAX(1,$C$4-1)*$C$5*IFERROR(INDEX(Settings!$K$5:$K$10,MATCH($C$6,Settings!$J$5:$J$10,0)),1)/HomeINR,-2))</f>
        <v>16800</v>
      </c>
      <c r="F12" s="105" t="n">
        <f aca="false">IF(F$10="","",ROUND(INDEX('Country Data'!$K$5:$K$84,F$10)*MAX(1,$C$4-1)*$C$5*IFERROR(INDEX(Settings!$K$5:$K$10,MATCH($C$6,Settings!$J$5:$J$10,0)),1)/HomeINR,-2))</f>
        <v>39000</v>
      </c>
    </row>
    <row r="13" customFormat="false" ht="15" hidden="false" customHeight="false" outlineLevel="0" collapsed="false">
      <c r="B13" s="125" t="s">
        <v>246</v>
      </c>
      <c r="C13" s="105" t="n">
        <f aca="false">IF(C$10="","",ROUND(INDEX('Country Data'!$L$5:$L$84,C$10)*$C$4*$C$5*IFERROR(INDEX(Settings!$K$5:$K$10,MATCH($C$6,Settings!$J$5:$J$10,0)),1)/HomeINR,-2))</f>
        <v>11200</v>
      </c>
      <c r="D13" s="105" t="n">
        <f aca="false">IF(D$10="","",ROUND(INDEX('Country Data'!$L$5:$L$84,D$10)*$C$4*$C$5*IFERROR(INDEX(Settings!$K$5:$K$10,MATCH($C$6,Settings!$J$5:$J$10,0)),1)/HomeINR,-2))</f>
        <v>7700</v>
      </c>
      <c r="E13" s="105" t="n">
        <f aca="false">IF(E$10="","",ROUND(INDEX('Country Data'!$L$5:$L$84,E$10)*$C$4*$C$5*IFERROR(INDEX(Settings!$K$5:$K$10,MATCH($C$6,Settings!$J$5:$J$10,0)),1)/HomeINR,-2))</f>
        <v>11200</v>
      </c>
      <c r="F13" s="105" t="n">
        <f aca="false">IF(F$10="","",ROUND(INDEX('Country Data'!$L$5:$L$84,F$10)*$C$4*$C$5*IFERROR(INDEX(Settings!$K$5:$K$10,MATCH($C$6,Settings!$J$5:$J$10,0)),1)/HomeINR,-2))</f>
        <v>22400</v>
      </c>
    </row>
    <row r="14" customFormat="false" ht="15" hidden="false" customHeight="false" outlineLevel="0" collapsed="false">
      <c r="B14" s="125" t="s">
        <v>247</v>
      </c>
      <c r="C14" s="105" t="n">
        <f aca="false">IF(C$10="","",ROUND(INDEX('Country Data'!$M$5:$M$84,C$10)*$C$4*$C$5*IFERROR(INDEX(Settings!$K$5:$K$10,MATCH($C$6,Settings!$J$5:$J$10,0)),1)/HomeINR,-2))</f>
        <v>4200</v>
      </c>
      <c r="D14" s="105" t="n">
        <f aca="false">IF(D$10="","",ROUND(INDEX('Country Data'!$M$5:$M$84,D$10)*$C$4*$C$5*IFERROR(INDEX(Settings!$K$5:$K$10,MATCH($C$6,Settings!$J$5:$J$10,0)),1)/HomeINR,-2))</f>
        <v>4200</v>
      </c>
      <c r="E14" s="105" t="n">
        <f aca="false">IF(E$10="","",ROUND(INDEX('Country Data'!$M$5:$M$84,E$10)*$C$4*$C$5*IFERROR(INDEX(Settings!$K$5:$K$10,MATCH($C$6,Settings!$J$5:$J$10,0)),1)/HomeINR,-2))</f>
        <v>4200</v>
      </c>
      <c r="F14" s="105" t="n">
        <f aca="false">IF(F$10="","",ROUND(INDEX('Country Data'!$M$5:$M$84,F$10)*$C$4*$C$5*IFERROR(INDEX(Settings!$K$5:$K$10,MATCH($C$6,Settings!$J$5:$J$10,0)),1)/HomeINR,-2))</f>
        <v>11200</v>
      </c>
    </row>
    <row r="15" customFormat="false" ht="15" hidden="false" customHeight="false" outlineLevel="0" collapsed="false">
      <c r="B15" s="125" t="s">
        <v>248</v>
      </c>
      <c r="C15" s="105" t="n">
        <f aca="false">IF(C$10="","",ROUND(INDEX('Country Data'!$N$5:$N$84,C$10)*$C$4*$C$5*IFERROR(INDEX(Settings!$K$5:$K$10,MATCH($C$6,Settings!$J$5:$J$10,0)),1)/HomeINR,-2))</f>
        <v>11200</v>
      </c>
      <c r="D15" s="105" t="n">
        <f aca="false">IF(D$10="","",ROUND(INDEX('Country Data'!$N$5:$N$84,D$10)*$C$4*$C$5*IFERROR(INDEX(Settings!$K$5:$K$10,MATCH($C$6,Settings!$J$5:$J$10,0)),1)/HomeINR,-2))</f>
        <v>9100</v>
      </c>
      <c r="E15" s="105" t="n">
        <f aca="false">IF(E$10="","",ROUND(INDEX('Country Data'!$N$5:$N$84,E$10)*$C$4*$C$5*IFERROR(INDEX(Settings!$K$5:$K$10,MATCH($C$6,Settings!$J$5:$J$10,0)),1)/HomeINR,-2))</f>
        <v>9100</v>
      </c>
      <c r="F15" s="105" t="n">
        <f aca="false">IF(F$10="","",ROUND(INDEX('Country Data'!$N$5:$N$84,F$10)*$C$4*$C$5*IFERROR(INDEX(Settings!$K$5:$K$10,MATCH($C$6,Settings!$J$5:$J$10,0)),1)/HomeINR,-2))</f>
        <v>18900</v>
      </c>
    </row>
    <row r="16" customFormat="false" ht="15" hidden="false" customHeight="false" outlineLevel="0" collapsed="false">
      <c r="B16" s="125" t="s">
        <v>249</v>
      </c>
      <c r="C16" s="105" t="n">
        <f aca="false">IF(C$10="","",ROUND(INDEX('Country Data'!$F$5:$F$84,C$10)*$C$5/HomeINR,-2))</f>
        <v>0</v>
      </c>
      <c r="D16" s="105" t="n">
        <f aca="false">IF(D$10="","",ROUND(INDEX('Country Data'!$F$5:$F$84,D$10)*$C$5/HomeINR,-2))</f>
        <v>2400</v>
      </c>
      <c r="E16" s="105" t="n">
        <f aca="false">IF(E$10="","",ROUND(INDEX('Country Data'!$F$5:$F$84,E$10)*$C$5/HomeINR,-2))</f>
        <v>1900</v>
      </c>
      <c r="F16" s="105" t="n">
        <f aca="false">IF(F$10="","",ROUND(INDEX('Country Data'!$F$5:$F$84,F$10)*$C$5/HomeINR,-2))</f>
        <v>1500</v>
      </c>
    </row>
    <row r="17" customFormat="false" ht="15" hidden="false" customHeight="false" outlineLevel="0" collapsed="false">
      <c r="B17" s="125" t="s">
        <v>250</v>
      </c>
      <c r="C17" s="105" t="n">
        <f aca="false">IF(C$10="","",ROUND(INDEX('Country Data'!$O$5:$O$84,C$10)*$C$4*$C$5/HomeINR,-2))</f>
        <v>1100</v>
      </c>
      <c r="D17" s="105" t="n">
        <f aca="false">IF(D$10="","",ROUND(INDEX('Country Data'!$O$5:$O$84,D$10)*$C$4*$C$5/HomeINR,-2))</f>
        <v>1100</v>
      </c>
      <c r="E17" s="105" t="n">
        <f aca="false">IF(E$10="","",ROUND(INDEX('Country Data'!$O$5:$O$84,E$10)*$C$4*$C$5/HomeINR,-2))</f>
        <v>1100</v>
      </c>
      <c r="F17" s="105" t="n">
        <f aca="false">IF(F$10="","",ROUND(INDEX('Country Data'!$O$5:$O$84,F$10)*$C$4*$C$5/HomeINR,-2))</f>
        <v>1400</v>
      </c>
    </row>
    <row r="18" customFormat="false" ht="15" hidden="false" customHeight="false" outlineLevel="0" collapsed="false">
      <c r="B18" s="125" t="s">
        <v>251</v>
      </c>
      <c r="C18" s="105" t="n">
        <f aca="false">IF(C$10="","",ROUND(INDEX('Country Data'!$P$5:$P$84,C$10)*$C$5/HomeINR,-2))</f>
        <v>1500</v>
      </c>
      <c r="D18" s="105" t="n">
        <f aca="false">IF(D$10="","",ROUND(INDEX('Country Data'!$P$5:$P$84,D$10)*$C$5/HomeINR,-2))</f>
        <v>1500</v>
      </c>
      <c r="E18" s="105" t="n">
        <f aca="false">IF(E$10="","",ROUND(INDEX('Country Data'!$P$5:$P$84,E$10)*$C$5/HomeINR,-2))</f>
        <v>1500</v>
      </c>
      <c r="F18" s="105" t="n">
        <f aca="false">IF(F$10="","",ROUND(INDEX('Country Data'!$P$5:$P$84,F$10)*$C$5/HomeINR,-2))</f>
        <v>1800</v>
      </c>
    </row>
    <row r="19" customFormat="false" ht="15" hidden="false" customHeight="false" outlineLevel="0" collapsed="false">
      <c r="B19" s="20" t="s">
        <v>252</v>
      </c>
      <c r="C19" s="126" t="n">
        <f aca="false">IF(C$10="","",SUM(C11:C18))</f>
        <v>68000</v>
      </c>
      <c r="D19" s="126" t="n">
        <f aca="false">IF(D$10="","",SUM(D11:D18))</f>
        <v>63200</v>
      </c>
      <c r="E19" s="126" t="n">
        <f aca="false">IF(E$10="","",SUM(E11:E18))</f>
        <v>77800</v>
      </c>
      <c r="F19" s="126" t="n">
        <f aca="false">IF(F$10="","",SUM(F11:F18))</f>
        <v>148200</v>
      </c>
    </row>
    <row r="20" customFormat="false" ht="15" hidden="false" customHeight="false" outlineLevel="0" collapsed="false">
      <c r="B20" s="20" t="s">
        <v>253</v>
      </c>
      <c r="C20" s="126" t="n">
        <f aca="false">IF(C$10="","",C19/$C$5)</f>
        <v>68000</v>
      </c>
      <c r="D20" s="126" t="n">
        <f aca="false">IF(D$10="","",D19/$C$5)</f>
        <v>63200</v>
      </c>
      <c r="E20" s="126" t="n">
        <f aca="false">IF(E$10="","",E19/$C$5)</f>
        <v>77800</v>
      </c>
      <c r="F20" s="126" t="n">
        <f aca="false">IF(F$10="","",F19/$C$5)</f>
        <v>148200</v>
      </c>
    </row>
    <row r="21" customFormat="false" ht="15" hidden="false" customHeight="false" outlineLevel="0" collapsed="false">
      <c r="B21" s="125" t="s">
        <v>254</v>
      </c>
      <c r="C21" s="105" t="n">
        <f aca="false">IF(C$10="","",C20/$C$4)</f>
        <v>9714.28571428571</v>
      </c>
      <c r="D21" s="105" t="n">
        <f aca="false">IF(D$10="","",D20/$C$4)</f>
        <v>9028.57142857143</v>
      </c>
      <c r="E21" s="105" t="n">
        <f aca="false">IF(E$10="","",E20/$C$4)</f>
        <v>11114.2857142857</v>
      </c>
      <c r="F21" s="105" t="n">
        <f aca="false">IF(F$10="","",F20/$C$4)</f>
        <v>21171.4285714286</v>
      </c>
    </row>
    <row r="22" customFormat="false" ht="15" hidden="false" customHeight="false" outlineLevel="0" collapsed="false">
      <c r="B22" s="125" t="s">
        <v>255</v>
      </c>
      <c r="C22" s="127" t="str">
        <f aca="false">IF(C19="","",IF(C19=MIN($C$19:$F$19),"★ Cheapest",REPT("█",ROUND(12*C19/MAX($C$19:$F$19),0))))</f>
        <v>██████</v>
      </c>
      <c r="D22" s="127" t="str">
        <f aca="false">IF(D19="","",IF(D19=MIN($C$19:$F$19),"★ Cheapest",REPT("█",ROUND(12*D19/MAX($C$19:$F$19),0))))</f>
        <v>★ Cheapest</v>
      </c>
      <c r="E22" s="127" t="str">
        <f aca="false">IF(E19="","",IF(E19=MIN($C$19:$F$19),"★ Cheapest",REPT("█",ROUND(12*E19/MAX($C$19:$F$19),0))))</f>
        <v>██████</v>
      </c>
      <c r="F22" s="127" t="str">
        <f aca="false">IF(F19="","",IF(F19=MIN($C$19:$F$19),"★ Cheapest",REPT("█",ROUND(12*F19/MAX($C$19:$F$19),0))))</f>
        <v>████████████</v>
      </c>
    </row>
    <row r="23" customFormat="false" ht="30" hidden="false" customHeight="true" outlineLevel="0" collapsed="false">
      <c r="B23" s="128" t="s">
        <v>256</v>
      </c>
      <c r="C23" s="129" t="str">
        <f aca="false">IF(C$10="","",INDEX('Country Data'!$E$5:$E$84,C$10))</f>
        <v>Visa-free 30 days · file TDAC arrival card online</v>
      </c>
      <c r="D23" s="129" t="str">
        <f aca="false">IF(D$10="","",INDEX('Country Data'!$E$5:$E$84,D$10))</f>
        <v>e-Visa, up to 90 days</v>
      </c>
      <c r="E23" s="129" t="str">
        <f aca="false">IF(E$10="","",INDEX('Country Data'!$E$5:$E$84,E$10))</f>
        <v>e-Visa · visa-free with valid US/UK/Schengen/GCC visa or residence</v>
      </c>
      <c r="F23" s="129" t="str">
        <f aca="false">IF(F$10="","",INDEX('Country Data'!$E$5:$E$84,F$10))</f>
        <v>e-Visa (apply via VFS)</v>
      </c>
    </row>
    <row r="24" customFormat="false" ht="30" hidden="false" customHeight="true" outlineLevel="0" collapsed="false">
      <c r="B24" s="128" t="s">
        <v>257</v>
      </c>
      <c r="C24" s="129" t="str">
        <f aca="false">IF(C$10="","",TEXT(INDEX('Country Data'!$H$5:$H$84,C$10),"+0.0;-0.0;0")&amp;" h")</f>
        <v>+1.5 h</v>
      </c>
      <c r="D24" s="129" t="str">
        <f aca="false">IF(D$10="","",TEXT(INDEX('Country Data'!$H$5:$H$84,D$10),"+0.0;-0.0;0")&amp;" h")</f>
        <v>+1.5 h</v>
      </c>
      <c r="E24" s="129" t="str">
        <f aca="false">IF(E$10="","",TEXT(INDEX('Country Data'!$H$5:$H$84,E$10),"+0.0;-0.0;0")&amp;" h")</f>
        <v>-1.5 h</v>
      </c>
      <c r="F24" s="129" t="str">
        <f aca="false">IF(F$10="","",TEXT(INDEX('Country Data'!$H$5:$H$84,F$10),"+0.0;-0.0;0")&amp;" h")</f>
        <v>+3.5 h</v>
      </c>
    </row>
    <row r="25" customFormat="false" ht="30" hidden="false" customHeight="true" outlineLevel="0" collapsed="false">
      <c r="B25" s="128" t="s">
        <v>79</v>
      </c>
      <c r="C25" s="129" t="str">
        <f aca="false">IF(C$10="","",INDEX('Country Data'!$G$5:$G$84,C$10))</f>
        <v>A/B/C/O</v>
      </c>
      <c r="D25" s="129" t="str">
        <f aca="false">IF(D$10="","",INDEX('Country Data'!$G$5:$G$84,D$10))</f>
        <v>A/C</v>
      </c>
      <c r="E25" s="129" t="str">
        <f aca="false">IF(E$10="","",INDEX('Country Data'!$G$5:$G$84,E$10))</f>
        <v>C/F</v>
      </c>
      <c r="F25" s="129" t="str">
        <f aca="false">IF(F$10="","",INDEX('Country Data'!$G$5:$G$84,F$10))</f>
        <v>A/B</v>
      </c>
    </row>
    <row r="26" customFormat="false" ht="30" hidden="false" customHeight="true" outlineLevel="0" collapsed="false">
      <c r="B26" s="128" t="s">
        <v>258</v>
      </c>
      <c r="C26" s="129" t="str">
        <f aca="false">IF(C$10="","",INDEX('Country Data'!$D$5:$D$84,C$10))</f>
        <v>191 police · 1669 ambulance</v>
      </c>
      <c r="D26" s="129" t="str">
        <f aca="false">IF(D$10="","",INDEX('Country Data'!$D$5:$D$84,D$10))</f>
        <v>113 police · 115 ambulance</v>
      </c>
      <c r="E26" s="129" t="str">
        <f aca="false">IF(E$10="","",INDEX('Country Data'!$D$5:$D$84,E$10))</f>
        <v>112</v>
      </c>
      <c r="F26" s="129" t="str">
        <f aca="false">IF(F$10="","",INDEX('Country Data'!$D$5:$D$84,F$10))</f>
        <v>110 police · 119 ambulance</v>
      </c>
    </row>
    <row r="27" customFormat="false" ht="30" hidden="false" customHeight="true" outlineLevel="0" collapsed="false">
      <c r="B27" s="128" t="s">
        <v>81</v>
      </c>
      <c r="C27" s="129" t="str">
        <f aca="false">IF(C$10="","",INDEX('Country Data'!$Q$5:$Q$84,C$10))</f>
        <v>Not expected; round up</v>
      </c>
      <c r="D27" s="129" t="str">
        <f aca="false">IF(D$10="","",INDEX('Country Data'!$Q$5:$Q$84,D$10))</f>
        <v>Not expected; appreciated</v>
      </c>
      <c r="E27" s="129" t="str">
        <f aca="false">IF(E$10="","",INDEX('Country Data'!$Q$5:$Q$84,E$10))</f>
        <v>~10% often added</v>
      </c>
      <c r="F27" s="129" t="str">
        <f aca="false">IF(F$10="","",INDEX('Country Data'!$Q$5:$Q$84,F$10))</f>
        <v>No tipping</v>
      </c>
    </row>
    <row r="28" customFormat="false" ht="30" hidden="false" customHeight="true" outlineLevel="0" collapsed="false">
      <c r="B28" s="128" t="s">
        <v>259</v>
      </c>
      <c r="C28" s="129" t="str">
        <f aca="false">IF(C$10="","",INDEX('Country Data'!$R$5:$R$84,C$10))</f>
        <v>Grab works everywhere; 7-Eleven for snacks &amp; top-ups</v>
      </c>
      <c r="D28" s="129" t="str">
        <f aca="false">IF(D$10="","",INDEX('Country Data'!$R$5:$R$84,D$10))</f>
        <v>Grab for rides; carry small notes</v>
      </c>
      <c r="E28" s="129" t="str">
        <f aca="false">IF(E$10="","",INDEX('Country Data'!$R$5:$R$84,E$10))</f>
        <v>Bolt for taxis; day trip to Kazbegi</v>
      </c>
      <c r="F28" s="129" t="str">
        <f aca="false">IF(F$10="","",INDEX('Country Data'!$R$5:$R$84,F$10))</f>
        <v>Add a Suica/ICOCA card to your phone</v>
      </c>
    </row>
    <row r="30" customFormat="false" ht="15" hidden="false" customHeight="false" outlineLevel="0" collapsed="false">
      <c r="B30" s="41" t="s">
        <v>260</v>
      </c>
    </row>
  </sheetData>
  <sheetProtection sheet="true" password="ecf5" formatRows="false"/>
  <conditionalFormatting sqref="C22:F22">
    <cfRule type="expression" priority="2" aboveAverage="0" equalAverage="0" bottom="0" percent="0" rank="0" text="" dxfId="1">
      <formula>LEFT(C22,1)="★"</formula>
    </cfRule>
  </conditionalFormatting>
  <dataValidations count="4">
    <dataValidation allowBlank="true" error="Type a number only (no currency symbols)." errorStyle="stop" errorTitle="Number needed" operator="greaterThanOrEqual" showDropDown="false" showErrorMessage="true" showInputMessage="false" sqref="C4:C5" type="decimal">
      <formula1>0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C6" type="list">
      <formula1>StyleList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C7" type="list">
      <formula1>OriginList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C9:F9" type="list">
      <formula1>CountryList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L61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1"/>
    <col collapsed="false" customWidth="true" hidden="false" outlineLevel="0" max="3" min="3" style="0" width="8"/>
    <col collapsed="false" customWidth="true" hidden="false" outlineLevel="0" max="4" min="4" style="0" width="15"/>
    <col collapsed="false" customWidth="true" hidden="false" outlineLevel="0" max="5" min="5" style="0" width="26"/>
    <col collapsed="false" customWidth="true" hidden="false" outlineLevel="0" max="6" min="6" style="0" width="14"/>
    <col collapsed="false" customWidth="true" hidden="false" outlineLevel="0" max="8" min="7" style="0" width="13"/>
    <col collapsed="false" customWidth="true" hidden="false" outlineLevel="0" max="9" min="9" style="0" width="17"/>
    <col collapsed="false" customWidth="true" hidden="true" outlineLevel="0" max="12" min="11" style="0" width="13"/>
  </cols>
  <sheetData>
    <row r="1" customFormat="false" ht="43.5" hidden="false" customHeight="true" outlineLevel="0" collapsed="false">
      <c r="B1" s="88" t="str">
        <f aca="false">TripName</f>
        <v>My trip</v>
      </c>
      <c r="C1" s="88"/>
      <c r="D1" s="88"/>
      <c r="E1" s="88"/>
      <c r="F1" s="88"/>
      <c r="G1" s="88"/>
      <c r="H1" s="88"/>
      <c r="I1" s="88"/>
    </row>
    <row r="2" customFormat="false" ht="15" hidden="false" customHeight="false" outlineLevel="0" collapsed="false">
      <c r="B2" s="130" t="str">
        <f aca="false">IF(TripStart="",TripDest,TripDest&amp;"  ·  "&amp;TEXT(TripStart,"ddd dd mmm")&amp;" – "&amp;TEXT(TripEnd,"ddd dd mmm yyyy")&amp;"  ·  "&amp;TripDays&amp;" days  ·  "&amp;TripStyle)</f>
        <v/>
      </c>
      <c r="C2" s="130"/>
      <c r="D2" s="130"/>
      <c r="E2" s="130"/>
      <c r="F2" s="130"/>
      <c r="G2" s="130"/>
      <c r="H2" s="130"/>
      <c r="I2" s="130"/>
    </row>
    <row r="3" customFormat="false" ht="15" hidden="false" customHeight="false" outlineLevel="0" collapsed="false">
      <c r="B3" s="131" t="str">
        <f aca="false">"Travellers ("&amp;TravCount&amp;"): "&amp;MID(IF(Setup!$B$18="","",", "&amp;Setup!$B$18)&amp;IF(Setup!$B$19="","",", "&amp;Setup!$B$19)&amp;IF(Setup!$B$20="","",", "&amp;Setup!$B$20)&amp;IF(Setup!$B$21="","",", "&amp;Setup!$B$21)&amp;IF(Setup!$B$22="","",", "&amp;Setup!$B$22)&amp;IF(Setup!$B$23="","",", "&amp;Setup!$B$23)&amp;IF(Setup!$B$24="","",", "&amp;Setup!$B$24)&amp;IF(Setup!$B$25="","",", "&amp;Setup!$B$25)&amp;IF(Setup!$B$26="","",", "&amp;Setup!$B$26)&amp;IF(Setup!$B$27="","",", "&amp;Setup!$B$27),3,500)</f>
        <v>Travellers (0): </v>
      </c>
      <c r="C3" s="131"/>
      <c r="D3" s="131"/>
      <c r="E3" s="131"/>
      <c r="F3" s="131"/>
      <c r="G3" s="131"/>
      <c r="H3" s="131"/>
      <c r="I3" s="131"/>
    </row>
    <row r="5" customFormat="false" ht="15" hidden="false" customHeight="false" outlineLevel="0" collapsed="false">
      <c r="B5" s="67" t="s">
        <v>214</v>
      </c>
      <c r="C5" s="67"/>
      <c r="D5" s="67" t="s">
        <v>261</v>
      </c>
      <c r="E5" s="67"/>
      <c r="F5" s="67" t="s">
        <v>262</v>
      </c>
      <c r="G5" s="67"/>
      <c r="H5" s="67" t="s">
        <v>263</v>
      </c>
      <c r="I5" s="67"/>
    </row>
    <row r="6" customFormat="false" ht="18.55" hidden="false" customHeight="false" outlineLevel="0" collapsed="false">
      <c r="B6" s="132" t="n">
        <f aca="false">TotalBudget</f>
        <v>0</v>
      </c>
      <c r="C6" s="132"/>
      <c r="D6" s="132" t="n">
        <f aca="false">Dashboard!D7</f>
        <v>0</v>
      </c>
      <c r="E6" s="132"/>
      <c r="F6" s="132" t="n">
        <f aca="false">Dashboard!F7</f>
        <v>0</v>
      </c>
      <c r="G6" s="132"/>
      <c r="H6" s="132" t="n">
        <f aca="false">Dashboard!H7</f>
        <v>0</v>
      </c>
      <c r="I6" s="132"/>
    </row>
    <row r="7" customFormat="false" ht="15" hidden="false" customHeight="false" outlineLevel="0" collapsed="false">
      <c r="B7" s="133" t="str">
        <f aca="false">"All amounts in "&amp;HomeCcy&amp;"  ·  equal share per traveller: "&amp;IF(TravCount=0,"-",TEXT(Dashboard!D7/TravCount,"#,##0"))&amp;"  ·  daily budget: "&amp;IF(N(DailyBudget)=0,"-",TEXT(DailyBudget,"#,##0"))</f>
        <v>All amounts in INR  ·  equal share per traveller: -  ·  daily budget: -</v>
      </c>
      <c r="C7" s="133"/>
      <c r="D7" s="133"/>
      <c r="E7" s="133"/>
      <c r="F7" s="133"/>
      <c r="G7" s="133"/>
      <c r="H7" s="133"/>
      <c r="I7" s="133"/>
    </row>
    <row r="9" customFormat="false" ht="15" hidden="false" customHeight="false" outlineLevel="0" collapsed="false">
      <c r="B9" s="134" t="s">
        <v>264</v>
      </c>
      <c r="F9" s="134" t="s">
        <v>253</v>
      </c>
    </row>
    <row r="10" customFormat="false" ht="15" hidden="false" customHeight="false" outlineLevel="0" collapsed="false">
      <c r="B10" s="135" t="s">
        <v>100</v>
      </c>
      <c r="C10" s="135"/>
      <c r="D10" s="136" t="s">
        <v>168</v>
      </c>
      <c r="F10" s="136" t="s">
        <v>265</v>
      </c>
      <c r="G10" s="136" t="s">
        <v>266</v>
      </c>
      <c r="H10" s="136" t="s">
        <v>222</v>
      </c>
      <c r="I10" s="136" t="s">
        <v>231</v>
      </c>
    </row>
    <row r="11" customFormat="false" ht="15" hidden="false" customHeight="false" outlineLevel="0" collapsed="false">
      <c r="B11" s="137" t="str">
        <f aca="false">IF(L11="","",INDEX(Dashboard!$B$13:$B$37,L11))</f>
        <v/>
      </c>
      <c r="C11" s="137"/>
      <c r="D11" s="138" t="str">
        <f aca="false">IF(L11="","",INDEX(Dashboard!$D$13:$D$37,L11))</f>
        <v/>
      </c>
      <c r="F11" s="139" t="str">
        <f aca="false">'Split &amp; Settle'!B7&amp;""</f>
        <v/>
      </c>
      <c r="G11" s="138" t="str">
        <f aca="false">IF(F11="","",'Split &amp; Settle'!D7)</f>
        <v/>
      </c>
      <c r="H11" s="138" t="str">
        <f aca="false">IF(F11="","",'Split &amp; Settle'!F7)</f>
        <v/>
      </c>
      <c r="I11" s="140" t="str">
        <f aca="false">IF(F11="","",'Split &amp; Settle'!G7)</f>
        <v/>
      </c>
      <c r="K11" s="60" t="str">
        <f aca="false">IFERROR(LARGE(Dashboard!$I$13:$I$37,1),"")</f>
        <v/>
      </c>
      <c r="L11" s="60" t="str">
        <f aca="false">IF(K11="","",MATCH(K11,Dashboard!$I$13:$I$37,0))</f>
        <v/>
      </c>
    </row>
    <row r="12" customFormat="false" ht="15" hidden="false" customHeight="false" outlineLevel="0" collapsed="false">
      <c r="B12" s="137" t="str">
        <f aca="false">IF(L12="","",INDEX(Dashboard!$B$13:$B$37,L12))</f>
        <v/>
      </c>
      <c r="C12" s="137"/>
      <c r="D12" s="138" t="str">
        <f aca="false">IF(L12="","",INDEX(Dashboard!$D$13:$D$37,L12))</f>
        <v/>
      </c>
      <c r="F12" s="139" t="str">
        <f aca="false">'Split &amp; Settle'!B8&amp;""</f>
        <v/>
      </c>
      <c r="G12" s="138" t="str">
        <f aca="false">IF(F12="","",'Split &amp; Settle'!D8)</f>
        <v/>
      </c>
      <c r="H12" s="138" t="str">
        <f aca="false">IF(F12="","",'Split &amp; Settle'!F8)</f>
        <v/>
      </c>
      <c r="I12" s="140" t="str">
        <f aca="false">IF(F12="","",'Split &amp; Settle'!G8)</f>
        <v/>
      </c>
      <c r="K12" s="60" t="str">
        <f aca="false">IFERROR(LARGE(Dashboard!$I$13:$I$37,2),"")</f>
        <v/>
      </c>
      <c r="L12" s="60" t="str">
        <f aca="false">IF(K12="","",MATCH(K12,Dashboard!$I$13:$I$37,0))</f>
        <v/>
      </c>
    </row>
    <row r="13" customFormat="false" ht="15" hidden="false" customHeight="false" outlineLevel="0" collapsed="false">
      <c r="B13" s="137" t="str">
        <f aca="false">IF(L13="","",INDEX(Dashboard!$B$13:$B$37,L13))</f>
        <v/>
      </c>
      <c r="C13" s="137"/>
      <c r="D13" s="138" t="str">
        <f aca="false">IF(L13="","",INDEX(Dashboard!$D$13:$D$37,L13))</f>
        <v/>
      </c>
      <c r="F13" s="139" t="str">
        <f aca="false">'Split &amp; Settle'!B9&amp;""</f>
        <v/>
      </c>
      <c r="G13" s="138" t="str">
        <f aca="false">IF(F13="","",'Split &amp; Settle'!D9)</f>
        <v/>
      </c>
      <c r="H13" s="138" t="str">
        <f aca="false">IF(F13="","",'Split &amp; Settle'!F9)</f>
        <v/>
      </c>
      <c r="I13" s="140" t="str">
        <f aca="false">IF(F13="","",'Split &amp; Settle'!G9)</f>
        <v/>
      </c>
      <c r="K13" s="60" t="str">
        <f aca="false">IFERROR(LARGE(Dashboard!$I$13:$I$37,3),"")</f>
        <v/>
      </c>
      <c r="L13" s="60" t="str">
        <f aca="false">IF(K13="","",MATCH(K13,Dashboard!$I$13:$I$37,0))</f>
        <v/>
      </c>
    </row>
    <row r="14" customFormat="false" ht="15" hidden="false" customHeight="false" outlineLevel="0" collapsed="false">
      <c r="B14" s="137" t="str">
        <f aca="false">IF(L14="","",INDEX(Dashboard!$B$13:$B$37,L14))</f>
        <v/>
      </c>
      <c r="C14" s="137"/>
      <c r="D14" s="138" t="str">
        <f aca="false">IF(L14="","",INDEX(Dashboard!$D$13:$D$37,L14))</f>
        <v/>
      </c>
      <c r="F14" s="139" t="str">
        <f aca="false">'Split &amp; Settle'!B10&amp;""</f>
        <v/>
      </c>
      <c r="G14" s="138" t="str">
        <f aca="false">IF(F14="","",'Split &amp; Settle'!D10)</f>
        <v/>
      </c>
      <c r="H14" s="138" t="str">
        <f aca="false">IF(F14="","",'Split &amp; Settle'!F10)</f>
        <v/>
      </c>
      <c r="I14" s="140" t="str">
        <f aca="false">IF(F14="","",'Split &amp; Settle'!G10)</f>
        <v/>
      </c>
      <c r="K14" s="60" t="str">
        <f aca="false">IFERROR(LARGE(Dashboard!$I$13:$I$37,4),"")</f>
        <v/>
      </c>
      <c r="L14" s="60" t="str">
        <f aca="false">IF(K14="","",MATCH(K14,Dashboard!$I$13:$I$37,0))</f>
        <v/>
      </c>
    </row>
    <row r="15" customFormat="false" ht="15" hidden="false" customHeight="false" outlineLevel="0" collapsed="false">
      <c r="B15" s="137" t="str">
        <f aca="false">IF(L15="","",INDEX(Dashboard!$B$13:$B$37,L15))</f>
        <v/>
      </c>
      <c r="C15" s="137"/>
      <c r="D15" s="138" t="str">
        <f aca="false">IF(L15="","",INDEX(Dashboard!$D$13:$D$37,L15))</f>
        <v/>
      </c>
      <c r="F15" s="139" t="str">
        <f aca="false">'Split &amp; Settle'!B11&amp;""</f>
        <v/>
      </c>
      <c r="G15" s="138" t="str">
        <f aca="false">IF(F15="","",'Split &amp; Settle'!D11)</f>
        <v/>
      </c>
      <c r="H15" s="138" t="str">
        <f aca="false">IF(F15="","",'Split &amp; Settle'!F11)</f>
        <v/>
      </c>
      <c r="I15" s="140" t="str">
        <f aca="false">IF(F15="","",'Split &amp; Settle'!G11)</f>
        <v/>
      </c>
      <c r="K15" s="60" t="str">
        <f aca="false">IFERROR(LARGE(Dashboard!$I$13:$I$37,5),"")</f>
        <v/>
      </c>
      <c r="L15" s="60" t="str">
        <f aca="false">IF(K15="","",MATCH(K15,Dashboard!$I$13:$I$37,0))</f>
        <v/>
      </c>
    </row>
    <row r="16" customFormat="false" ht="15" hidden="false" customHeight="false" outlineLevel="0" collapsed="false">
      <c r="B16" s="137" t="str">
        <f aca="false">IF(L16="","",INDEX(Dashboard!$B$13:$B$37,L16))</f>
        <v/>
      </c>
      <c r="C16" s="137"/>
      <c r="D16" s="138" t="str">
        <f aca="false">IF(L16="","",INDEX(Dashboard!$D$13:$D$37,L16))</f>
        <v/>
      </c>
      <c r="F16" s="139" t="str">
        <f aca="false">'Split &amp; Settle'!B12&amp;""</f>
        <v/>
      </c>
      <c r="G16" s="138" t="str">
        <f aca="false">IF(F16="","",'Split &amp; Settle'!D12)</f>
        <v/>
      </c>
      <c r="H16" s="138" t="str">
        <f aca="false">IF(F16="","",'Split &amp; Settle'!F12)</f>
        <v/>
      </c>
      <c r="I16" s="140" t="str">
        <f aca="false">IF(F16="","",'Split &amp; Settle'!G12)</f>
        <v/>
      </c>
      <c r="K16" s="60" t="str">
        <f aca="false">IFERROR(LARGE(Dashboard!$I$13:$I$37,6),"")</f>
        <v/>
      </c>
      <c r="L16" s="60" t="str">
        <f aca="false">IF(K16="","",MATCH(K16,Dashboard!$I$13:$I$37,0))</f>
        <v/>
      </c>
    </row>
    <row r="17" customFormat="false" ht="15" hidden="false" customHeight="false" outlineLevel="0" collapsed="false">
      <c r="B17" s="137" t="str">
        <f aca="false">IF(L17="","",INDEX(Dashboard!$B$13:$B$37,L17))</f>
        <v/>
      </c>
      <c r="C17" s="137"/>
      <c r="D17" s="138" t="str">
        <f aca="false">IF(L17="","",INDEX(Dashboard!$D$13:$D$37,L17))</f>
        <v/>
      </c>
      <c r="F17" s="139" t="str">
        <f aca="false">'Split &amp; Settle'!B13&amp;""</f>
        <v/>
      </c>
      <c r="G17" s="138" t="str">
        <f aca="false">IF(F17="","",'Split &amp; Settle'!D13)</f>
        <v/>
      </c>
      <c r="H17" s="138" t="str">
        <f aca="false">IF(F17="","",'Split &amp; Settle'!F13)</f>
        <v/>
      </c>
      <c r="I17" s="140" t="str">
        <f aca="false">IF(F17="","",'Split &amp; Settle'!G13)</f>
        <v/>
      </c>
      <c r="K17" s="60" t="str">
        <f aca="false">IFERROR(LARGE(Dashboard!$I$13:$I$37,7),"")</f>
        <v/>
      </c>
      <c r="L17" s="60" t="str">
        <f aca="false">IF(K17="","",MATCH(K17,Dashboard!$I$13:$I$37,0))</f>
        <v/>
      </c>
    </row>
    <row r="18" customFormat="false" ht="15" hidden="false" customHeight="false" outlineLevel="0" collapsed="false">
      <c r="B18" s="137" t="str">
        <f aca="false">IF(L18="","",INDEX(Dashboard!$B$13:$B$37,L18))</f>
        <v/>
      </c>
      <c r="C18" s="137"/>
      <c r="D18" s="138" t="str">
        <f aca="false">IF(L18="","",INDEX(Dashboard!$D$13:$D$37,L18))</f>
        <v/>
      </c>
      <c r="F18" s="139" t="str">
        <f aca="false">'Split &amp; Settle'!B14&amp;""</f>
        <v/>
      </c>
      <c r="G18" s="138" t="str">
        <f aca="false">IF(F18="","",'Split &amp; Settle'!D14)</f>
        <v/>
      </c>
      <c r="H18" s="138" t="str">
        <f aca="false">IF(F18="","",'Split &amp; Settle'!F14)</f>
        <v/>
      </c>
      <c r="I18" s="140" t="str">
        <f aca="false">IF(F18="","",'Split &amp; Settle'!G14)</f>
        <v/>
      </c>
      <c r="K18" s="60" t="str">
        <f aca="false">IFERROR(LARGE(Dashboard!$I$13:$I$37,8),"")</f>
        <v/>
      </c>
      <c r="L18" s="60" t="str">
        <f aca="false">IF(K18="","",MATCH(K18,Dashboard!$I$13:$I$37,0))</f>
        <v/>
      </c>
    </row>
    <row r="19" customFormat="false" ht="15" hidden="false" customHeight="false" outlineLevel="0" collapsed="false">
      <c r="B19" s="137" t="str">
        <f aca="false">IF(L19="","",INDEX(Dashboard!$B$13:$B$37,L19))</f>
        <v/>
      </c>
      <c r="C19" s="137"/>
      <c r="D19" s="138" t="str">
        <f aca="false">IF(L19="","",INDEX(Dashboard!$D$13:$D$37,L19))</f>
        <v/>
      </c>
      <c r="F19" s="139" t="str">
        <f aca="false">'Split &amp; Settle'!B15&amp;""</f>
        <v/>
      </c>
      <c r="G19" s="138" t="str">
        <f aca="false">IF(F19="","",'Split &amp; Settle'!D15)</f>
        <v/>
      </c>
      <c r="H19" s="138" t="str">
        <f aca="false">IF(F19="","",'Split &amp; Settle'!F15)</f>
        <v/>
      </c>
      <c r="I19" s="140" t="str">
        <f aca="false">IF(F19="","",'Split &amp; Settle'!G15)</f>
        <v/>
      </c>
      <c r="K19" s="60" t="str">
        <f aca="false">IFERROR(LARGE(Dashboard!$I$13:$I$37,9),"")</f>
        <v/>
      </c>
      <c r="L19" s="60" t="str">
        <f aca="false">IF(K19="","",MATCH(K19,Dashboard!$I$13:$I$37,0))</f>
        <v/>
      </c>
    </row>
    <row r="20" customFormat="false" ht="15" hidden="false" customHeight="false" outlineLevel="0" collapsed="false">
      <c r="B20" s="137" t="str">
        <f aca="false">IF(L20="","",INDEX(Dashboard!$B$13:$B$37,L20))</f>
        <v/>
      </c>
      <c r="C20" s="137"/>
      <c r="D20" s="138" t="str">
        <f aca="false">IF(L20="","",INDEX(Dashboard!$D$13:$D$37,L20))</f>
        <v/>
      </c>
      <c r="F20" s="139" t="str">
        <f aca="false">'Split &amp; Settle'!B16&amp;""</f>
        <v/>
      </c>
      <c r="G20" s="138" t="str">
        <f aca="false">IF(F20="","",'Split &amp; Settle'!D16)</f>
        <v/>
      </c>
      <c r="H20" s="138" t="str">
        <f aca="false">IF(F20="","",'Split &amp; Settle'!F16)</f>
        <v/>
      </c>
      <c r="I20" s="140" t="str">
        <f aca="false">IF(F20="","",'Split &amp; Settle'!G16)</f>
        <v/>
      </c>
      <c r="K20" s="60" t="str">
        <f aca="false">IFERROR(LARGE(Dashboard!$I$13:$I$37,10),"")</f>
        <v/>
      </c>
      <c r="L20" s="60" t="str">
        <f aca="false">IF(K20="","",MATCH(K20,Dashboard!$I$13:$I$37,0))</f>
        <v/>
      </c>
    </row>
    <row r="22" customFormat="false" ht="15" hidden="false" customHeight="false" outlineLevel="0" collapsed="false">
      <c r="B22" s="134" t="s">
        <v>219</v>
      </c>
      <c r="F22" s="134" t="s">
        <v>267</v>
      </c>
    </row>
    <row r="23" customFormat="false" ht="15" hidden="false" customHeight="false" outlineLevel="0" collapsed="false">
      <c r="B23" s="135" t="s">
        <v>235</v>
      </c>
      <c r="C23" s="135"/>
      <c r="D23" s="135"/>
      <c r="E23" s="136" t="s">
        <v>130</v>
      </c>
      <c r="F23" s="92" t="str">
        <f aca="false">Setup!$G$6&amp;""</f>
        <v/>
      </c>
      <c r="G23" s="92"/>
      <c r="H23" s="92"/>
      <c r="I23" s="92"/>
    </row>
    <row r="24" customFormat="false" ht="15" hidden="false" customHeight="false" outlineLevel="0" collapsed="false">
      <c r="B24" s="139" t="str">
        <f aca="false">Calc!$BK$2&amp;""</f>
        <v/>
      </c>
      <c r="C24" s="139"/>
      <c r="D24" s="139"/>
      <c r="E24" s="138" t="str">
        <f aca="false">IF(Calc!$BL$2="","",Calc!$BL$2)</f>
        <v/>
      </c>
      <c r="F24" s="141" t="s">
        <v>268</v>
      </c>
      <c r="G24" s="137" t="str">
        <f aca="false">IF(Setup!$G$6="","",Setup!$K$6)</f>
        <v/>
      </c>
      <c r="H24" s="137"/>
      <c r="I24" s="137"/>
    </row>
    <row r="25" customFormat="false" ht="15" hidden="false" customHeight="false" outlineLevel="0" collapsed="false">
      <c r="B25" s="139" t="str">
        <f aca="false">Calc!$BK$3&amp;""</f>
        <v/>
      </c>
      <c r="C25" s="139"/>
      <c r="D25" s="139"/>
      <c r="E25" s="138" t="str">
        <f aca="false">IF(Calc!$BL$3="","",Calc!$BL$3)</f>
        <v/>
      </c>
      <c r="F25" s="141" t="s">
        <v>258</v>
      </c>
      <c r="G25" s="137" t="str">
        <f aca="false">IF(Setup!$G$6="","",Setup!$H$37)</f>
        <v/>
      </c>
      <c r="H25" s="137"/>
      <c r="I25" s="137"/>
    </row>
    <row r="26" customFormat="false" ht="15" hidden="false" customHeight="false" outlineLevel="0" collapsed="false">
      <c r="B26" s="139" t="str">
        <f aca="false">Calc!$BK$4&amp;""</f>
        <v/>
      </c>
      <c r="C26" s="139"/>
      <c r="D26" s="139"/>
      <c r="E26" s="138" t="str">
        <f aca="false">IF(Calc!$BL$4="","",Calc!$BL$4)</f>
        <v/>
      </c>
      <c r="F26" s="141" t="s">
        <v>79</v>
      </c>
      <c r="G26" s="137" t="str">
        <f aca="false">IF(Setup!$G$6="","",Setup!$H$12)</f>
        <v/>
      </c>
      <c r="H26" s="137"/>
      <c r="I26" s="137"/>
    </row>
    <row r="27" customFormat="false" ht="15" hidden="false" customHeight="false" outlineLevel="0" collapsed="false">
      <c r="B27" s="139" t="str">
        <f aca="false">Calc!$BK$5&amp;""</f>
        <v/>
      </c>
      <c r="C27" s="139"/>
      <c r="D27" s="139"/>
      <c r="E27" s="138" t="str">
        <f aca="false">IF(Calc!$BL$5="","",Calc!$BL$5)</f>
        <v/>
      </c>
      <c r="F27" s="141" t="s">
        <v>146</v>
      </c>
      <c r="G27" s="137" t="str">
        <f aca="false">IF(Setup!$G$6="","",Setup!$I$12&amp;" vs India")</f>
        <v/>
      </c>
      <c r="H27" s="137"/>
      <c r="I27" s="137"/>
    </row>
    <row r="28" customFormat="false" ht="15" hidden="false" customHeight="false" outlineLevel="0" collapsed="false">
      <c r="B28" s="139" t="str">
        <f aca="false">Calc!$BK$6&amp;""</f>
        <v/>
      </c>
      <c r="C28" s="139"/>
      <c r="D28" s="139"/>
      <c r="E28" s="138" t="str">
        <f aca="false">IF(Calc!$BL$6="","",Calc!$BL$6)</f>
        <v/>
      </c>
      <c r="F28" s="141" t="s">
        <v>67</v>
      </c>
      <c r="G28" s="137" t="str">
        <f aca="false">IF(Setup!$G$6="","",Setup!$K$27)</f>
        <v/>
      </c>
      <c r="H28" s="137"/>
      <c r="I28" s="137"/>
    </row>
    <row r="29" customFormat="false" ht="15" hidden="false" customHeight="false" outlineLevel="0" collapsed="false">
      <c r="B29" s="139" t="str">
        <f aca="false">Calc!$BK$7&amp;""</f>
        <v/>
      </c>
      <c r="C29" s="139"/>
      <c r="D29" s="139"/>
      <c r="E29" s="138" t="str">
        <f aca="false">IF(Calc!$BL$7="","",Calc!$BL$7)</f>
        <v/>
      </c>
      <c r="F29" s="141" t="s">
        <v>81</v>
      </c>
      <c r="G29" s="137" t="str">
        <f aca="false">IF(Setup!$G$6="","",Setup!$J$12)</f>
        <v/>
      </c>
      <c r="H29" s="137"/>
      <c r="I29" s="137"/>
    </row>
    <row r="30" customFormat="false" ht="15" hidden="false" customHeight="false" outlineLevel="0" collapsed="false">
      <c r="B30" s="142" t="str">
        <f aca="false">IF(Calc!$BK$2="","Nobody owes anything (yet).","")</f>
        <v>Nobody owes anything (yet).</v>
      </c>
    </row>
    <row r="31" customFormat="false" ht="15" hidden="false" customHeight="false" outlineLevel="0" collapsed="false">
      <c r="B31" s="134" t="s">
        <v>269</v>
      </c>
      <c r="F31" s="142" t="str">
        <f aca="false">IF(COUNT(Itinerary!$M$6:$M$85)&gt;18,"first 18 rows · full list on the Print Itinerary tab","")</f>
        <v/>
      </c>
    </row>
    <row r="32" customFormat="false" ht="15" hidden="false" customHeight="false" outlineLevel="0" collapsed="false">
      <c r="B32" s="136" t="s">
        <v>140</v>
      </c>
      <c r="C32" s="136" t="s">
        <v>146</v>
      </c>
      <c r="D32" s="136" t="s">
        <v>147</v>
      </c>
      <c r="E32" s="135" t="s">
        <v>163</v>
      </c>
      <c r="F32" s="135"/>
      <c r="G32" s="135"/>
      <c r="H32" s="136" t="s">
        <v>150</v>
      </c>
      <c r="I32" s="136" t="s">
        <v>164</v>
      </c>
    </row>
    <row r="33" customFormat="false" ht="15" hidden="false" customHeight="false" outlineLevel="0" collapsed="false">
      <c r="B33" s="139" t="str">
        <f aca="false">IF(L33="","",IF(INDEX(Itinerary!$J$6:$J$85,$L33)=0,"Pre-trip","Day "&amp;INDEX(Itinerary!$J$6:$J$85,$L33)&amp;" · "&amp;TEXT(INDEX(Itinerary!$K$6:$K$85,$L33),"dd mmm")))</f>
        <v/>
      </c>
      <c r="C33" s="143" t="str">
        <f aca="false">IF(L33="","",IF(INDEX(Itinerary!$B$6:$B$85,$L33)="","",INDEX(Itinerary!$B$6:$B$85,$L33)))</f>
        <v/>
      </c>
      <c r="D33" s="137" t="str">
        <f aca="false">IF(L33="","",INDEX(Itinerary!$C$6:$C$85,$L33)&amp;"")</f>
        <v/>
      </c>
      <c r="E33" s="137" t="str">
        <f aca="false">IF(L33="","",INDEX(Itinerary!$D$6:$D$85,$L33)&amp;"")</f>
        <v/>
      </c>
      <c r="F33" s="137"/>
      <c r="G33" s="137"/>
      <c r="H33" s="137" t="str">
        <f aca="false">IF(L33="","",INDEX(Itinerary!$F$6:$F$85,$L33)&amp;"")</f>
        <v/>
      </c>
      <c r="I33" s="137" t="str">
        <f aca="false">IF(L33="","",IF(INDEX(Itinerary!$L$6:$L$85,$L33)="",INDEX(Itinerary!$G$6:$G$85,$L33)&amp;"",INDEX(Itinerary!$L$6:$L$85,$L33)))</f>
        <v/>
      </c>
      <c r="K33" s="60" t="str">
        <f aca="false">IFERROR(SMALL(Itinerary!$M$6:$M$85,1),"")</f>
        <v/>
      </c>
      <c r="L33" s="60" t="str">
        <f aca="false">IF(K33="","",MATCH(K33,Itinerary!$M$6:$M$85,0))</f>
        <v/>
      </c>
    </row>
    <row r="34" customFormat="false" ht="15" hidden="false" customHeight="false" outlineLevel="0" collapsed="false">
      <c r="B34" s="139" t="str">
        <f aca="false">IF(L34="","",IF(AND(L33&lt;&gt;"",INDEX(Itinerary!$J$6:$J$85,L33)=INDEX(Itinerary!$J$6:$J$85,$L34)),"",IF(INDEX(Itinerary!$J$6:$J$85,$L34)=0,"Pre-trip","Day "&amp;INDEX(Itinerary!$J$6:$J$85,$L34)&amp;" · "&amp;TEXT(INDEX(Itinerary!$K$6:$K$85,$L34),"dd mmm"))))</f>
        <v/>
      </c>
      <c r="C34" s="143" t="str">
        <f aca="false">IF(L34="","",IF(INDEX(Itinerary!$B$6:$B$85,$L34)="","",INDEX(Itinerary!$B$6:$B$85,$L34)))</f>
        <v/>
      </c>
      <c r="D34" s="137" t="str">
        <f aca="false">IF(L34="","",INDEX(Itinerary!$C$6:$C$85,$L34)&amp;"")</f>
        <v/>
      </c>
      <c r="E34" s="137" t="str">
        <f aca="false">IF(L34="","",INDEX(Itinerary!$D$6:$D$85,$L34)&amp;"")</f>
        <v/>
      </c>
      <c r="F34" s="137"/>
      <c r="G34" s="137"/>
      <c r="H34" s="137" t="str">
        <f aca="false">IF(L34="","",INDEX(Itinerary!$F$6:$F$85,$L34)&amp;"")</f>
        <v/>
      </c>
      <c r="I34" s="137" t="str">
        <f aca="false">IF(L34="","",IF(INDEX(Itinerary!$L$6:$L$85,$L34)="",INDEX(Itinerary!$G$6:$G$85,$L34)&amp;"",INDEX(Itinerary!$L$6:$L$85,$L34)))</f>
        <v/>
      </c>
      <c r="K34" s="60" t="str">
        <f aca="false">IFERROR(SMALL(Itinerary!$M$6:$M$85,2),"")</f>
        <v/>
      </c>
      <c r="L34" s="60" t="str">
        <f aca="false">IF(K34="","",MATCH(K34,Itinerary!$M$6:$M$85,0))</f>
        <v/>
      </c>
    </row>
    <row r="35" customFormat="false" ht="15" hidden="false" customHeight="false" outlineLevel="0" collapsed="false">
      <c r="B35" s="139" t="str">
        <f aca="false">IF(L35="","",IF(AND(L34&lt;&gt;"",INDEX(Itinerary!$J$6:$J$85,L34)=INDEX(Itinerary!$J$6:$J$85,$L35)),"",IF(INDEX(Itinerary!$J$6:$J$85,$L35)=0,"Pre-trip","Day "&amp;INDEX(Itinerary!$J$6:$J$85,$L35)&amp;" · "&amp;TEXT(INDEX(Itinerary!$K$6:$K$85,$L35),"dd mmm"))))</f>
        <v/>
      </c>
      <c r="C35" s="143" t="str">
        <f aca="false">IF(L35="","",IF(INDEX(Itinerary!$B$6:$B$85,$L35)="","",INDEX(Itinerary!$B$6:$B$85,$L35)))</f>
        <v/>
      </c>
      <c r="D35" s="137" t="str">
        <f aca="false">IF(L35="","",INDEX(Itinerary!$C$6:$C$85,$L35)&amp;"")</f>
        <v/>
      </c>
      <c r="E35" s="137" t="str">
        <f aca="false">IF(L35="","",INDEX(Itinerary!$D$6:$D$85,$L35)&amp;"")</f>
        <v/>
      </c>
      <c r="F35" s="137"/>
      <c r="G35" s="137"/>
      <c r="H35" s="137" t="str">
        <f aca="false">IF(L35="","",INDEX(Itinerary!$F$6:$F$85,$L35)&amp;"")</f>
        <v/>
      </c>
      <c r="I35" s="137" t="str">
        <f aca="false">IF(L35="","",IF(INDEX(Itinerary!$L$6:$L$85,$L35)="",INDEX(Itinerary!$G$6:$G$85,$L35)&amp;"",INDEX(Itinerary!$L$6:$L$85,$L35)))</f>
        <v/>
      </c>
      <c r="K35" s="60" t="str">
        <f aca="false">IFERROR(SMALL(Itinerary!$M$6:$M$85,3),"")</f>
        <v/>
      </c>
      <c r="L35" s="60" t="str">
        <f aca="false">IF(K35="","",MATCH(K35,Itinerary!$M$6:$M$85,0))</f>
        <v/>
      </c>
    </row>
    <row r="36" customFormat="false" ht="15" hidden="false" customHeight="false" outlineLevel="0" collapsed="false">
      <c r="B36" s="139" t="str">
        <f aca="false">IF(L36="","",IF(AND(L35&lt;&gt;"",INDEX(Itinerary!$J$6:$J$85,L35)=INDEX(Itinerary!$J$6:$J$85,$L36)),"",IF(INDEX(Itinerary!$J$6:$J$85,$L36)=0,"Pre-trip","Day "&amp;INDEX(Itinerary!$J$6:$J$85,$L36)&amp;" · "&amp;TEXT(INDEX(Itinerary!$K$6:$K$85,$L36),"dd mmm"))))</f>
        <v/>
      </c>
      <c r="C36" s="143" t="str">
        <f aca="false">IF(L36="","",IF(INDEX(Itinerary!$B$6:$B$85,$L36)="","",INDEX(Itinerary!$B$6:$B$85,$L36)))</f>
        <v/>
      </c>
      <c r="D36" s="137" t="str">
        <f aca="false">IF(L36="","",INDEX(Itinerary!$C$6:$C$85,$L36)&amp;"")</f>
        <v/>
      </c>
      <c r="E36" s="137" t="str">
        <f aca="false">IF(L36="","",INDEX(Itinerary!$D$6:$D$85,$L36)&amp;"")</f>
        <v/>
      </c>
      <c r="F36" s="137"/>
      <c r="G36" s="137"/>
      <c r="H36" s="137" t="str">
        <f aca="false">IF(L36="","",INDEX(Itinerary!$F$6:$F$85,$L36)&amp;"")</f>
        <v/>
      </c>
      <c r="I36" s="137" t="str">
        <f aca="false">IF(L36="","",IF(INDEX(Itinerary!$L$6:$L$85,$L36)="",INDEX(Itinerary!$G$6:$G$85,$L36)&amp;"",INDEX(Itinerary!$L$6:$L$85,$L36)))</f>
        <v/>
      </c>
      <c r="K36" s="60" t="str">
        <f aca="false">IFERROR(SMALL(Itinerary!$M$6:$M$85,4),"")</f>
        <v/>
      </c>
      <c r="L36" s="60" t="str">
        <f aca="false">IF(K36="","",MATCH(K36,Itinerary!$M$6:$M$85,0))</f>
        <v/>
      </c>
    </row>
    <row r="37" customFormat="false" ht="15" hidden="false" customHeight="false" outlineLevel="0" collapsed="false">
      <c r="B37" s="139" t="str">
        <f aca="false">IF(L37="","",IF(AND(L36&lt;&gt;"",INDEX(Itinerary!$J$6:$J$85,L36)=INDEX(Itinerary!$J$6:$J$85,$L37)),"",IF(INDEX(Itinerary!$J$6:$J$85,$L37)=0,"Pre-trip","Day "&amp;INDEX(Itinerary!$J$6:$J$85,$L37)&amp;" · "&amp;TEXT(INDEX(Itinerary!$K$6:$K$85,$L37),"dd mmm"))))</f>
        <v/>
      </c>
      <c r="C37" s="143" t="str">
        <f aca="false">IF(L37="","",IF(INDEX(Itinerary!$B$6:$B$85,$L37)="","",INDEX(Itinerary!$B$6:$B$85,$L37)))</f>
        <v/>
      </c>
      <c r="D37" s="137" t="str">
        <f aca="false">IF(L37="","",INDEX(Itinerary!$C$6:$C$85,$L37)&amp;"")</f>
        <v/>
      </c>
      <c r="E37" s="137" t="str">
        <f aca="false">IF(L37="","",INDEX(Itinerary!$D$6:$D$85,$L37)&amp;"")</f>
        <v/>
      </c>
      <c r="F37" s="137"/>
      <c r="G37" s="137"/>
      <c r="H37" s="137" t="str">
        <f aca="false">IF(L37="","",INDEX(Itinerary!$F$6:$F$85,$L37)&amp;"")</f>
        <v/>
      </c>
      <c r="I37" s="137" t="str">
        <f aca="false">IF(L37="","",IF(INDEX(Itinerary!$L$6:$L$85,$L37)="",INDEX(Itinerary!$G$6:$G$85,$L37)&amp;"",INDEX(Itinerary!$L$6:$L$85,$L37)))</f>
        <v/>
      </c>
      <c r="K37" s="60" t="str">
        <f aca="false">IFERROR(SMALL(Itinerary!$M$6:$M$85,5),"")</f>
        <v/>
      </c>
      <c r="L37" s="60" t="str">
        <f aca="false">IF(K37="","",MATCH(K37,Itinerary!$M$6:$M$85,0))</f>
        <v/>
      </c>
    </row>
    <row r="38" customFormat="false" ht="15" hidden="false" customHeight="false" outlineLevel="0" collapsed="false">
      <c r="B38" s="139" t="str">
        <f aca="false">IF(L38="","",IF(AND(L37&lt;&gt;"",INDEX(Itinerary!$J$6:$J$85,L37)=INDEX(Itinerary!$J$6:$J$85,$L38)),"",IF(INDEX(Itinerary!$J$6:$J$85,$L38)=0,"Pre-trip","Day "&amp;INDEX(Itinerary!$J$6:$J$85,$L38)&amp;" · "&amp;TEXT(INDEX(Itinerary!$K$6:$K$85,$L38),"dd mmm"))))</f>
        <v/>
      </c>
      <c r="C38" s="143" t="str">
        <f aca="false">IF(L38="","",IF(INDEX(Itinerary!$B$6:$B$85,$L38)="","",INDEX(Itinerary!$B$6:$B$85,$L38)))</f>
        <v/>
      </c>
      <c r="D38" s="137" t="str">
        <f aca="false">IF(L38="","",INDEX(Itinerary!$C$6:$C$85,$L38)&amp;"")</f>
        <v/>
      </c>
      <c r="E38" s="137" t="str">
        <f aca="false">IF(L38="","",INDEX(Itinerary!$D$6:$D$85,$L38)&amp;"")</f>
        <v/>
      </c>
      <c r="F38" s="137"/>
      <c r="G38" s="137"/>
      <c r="H38" s="137" t="str">
        <f aca="false">IF(L38="","",INDEX(Itinerary!$F$6:$F$85,$L38)&amp;"")</f>
        <v/>
      </c>
      <c r="I38" s="137" t="str">
        <f aca="false">IF(L38="","",IF(INDEX(Itinerary!$L$6:$L$85,$L38)="",INDEX(Itinerary!$G$6:$G$85,$L38)&amp;"",INDEX(Itinerary!$L$6:$L$85,$L38)))</f>
        <v/>
      </c>
      <c r="K38" s="60" t="str">
        <f aca="false">IFERROR(SMALL(Itinerary!$M$6:$M$85,6),"")</f>
        <v/>
      </c>
      <c r="L38" s="60" t="str">
        <f aca="false">IF(K38="","",MATCH(K38,Itinerary!$M$6:$M$85,0))</f>
        <v/>
      </c>
    </row>
    <row r="39" customFormat="false" ht="15" hidden="false" customHeight="false" outlineLevel="0" collapsed="false">
      <c r="B39" s="139" t="str">
        <f aca="false">IF(L39="","",IF(AND(L38&lt;&gt;"",INDEX(Itinerary!$J$6:$J$85,L38)=INDEX(Itinerary!$J$6:$J$85,$L39)),"",IF(INDEX(Itinerary!$J$6:$J$85,$L39)=0,"Pre-trip","Day "&amp;INDEX(Itinerary!$J$6:$J$85,$L39)&amp;" · "&amp;TEXT(INDEX(Itinerary!$K$6:$K$85,$L39),"dd mmm"))))</f>
        <v/>
      </c>
      <c r="C39" s="143" t="str">
        <f aca="false">IF(L39="","",IF(INDEX(Itinerary!$B$6:$B$85,$L39)="","",INDEX(Itinerary!$B$6:$B$85,$L39)))</f>
        <v/>
      </c>
      <c r="D39" s="137" t="str">
        <f aca="false">IF(L39="","",INDEX(Itinerary!$C$6:$C$85,$L39)&amp;"")</f>
        <v/>
      </c>
      <c r="E39" s="137" t="str">
        <f aca="false">IF(L39="","",INDEX(Itinerary!$D$6:$D$85,$L39)&amp;"")</f>
        <v/>
      </c>
      <c r="F39" s="137"/>
      <c r="G39" s="137"/>
      <c r="H39" s="137" t="str">
        <f aca="false">IF(L39="","",INDEX(Itinerary!$F$6:$F$85,$L39)&amp;"")</f>
        <v/>
      </c>
      <c r="I39" s="137" t="str">
        <f aca="false">IF(L39="","",IF(INDEX(Itinerary!$L$6:$L$85,$L39)="",INDEX(Itinerary!$G$6:$G$85,$L39)&amp;"",INDEX(Itinerary!$L$6:$L$85,$L39)))</f>
        <v/>
      </c>
      <c r="K39" s="60" t="str">
        <f aca="false">IFERROR(SMALL(Itinerary!$M$6:$M$85,7),"")</f>
        <v/>
      </c>
      <c r="L39" s="60" t="str">
        <f aca="false">IF(K39="","",MATCH(K39,Itinerary!$M$6:$M$85,0))</f>
        <v/>
      </c>
    </row>
    <row r="40" customFormat="false" ht="15" hidden="false" customHeight="false" outlineLevel="0" collapsed="false">
      <c r="B40" s="139" t="str">
        <f aca="false">IF(L40="","",IF(AND(L39&lt;&gt;"",INDEX(Itinerary!$J$6:$J$85,L39)=INDEX(Itinerary!$J$6:$J$85,$L40)),"",IF(INDEX(Itinerary!$J$6:$J$85,$L40)=0,"Pre-trip","Day "&amp;INDEX(Itinerary!$J$6:$J$85,$L40)&amp;" · "&amp;TEXT(INDEX(Itinerary!$K$6:$K$85,$L40),"dd mmm"))))</f>
        <v/>
      </c>
      <c r="C40" s="143" t="str">
        <f aca="false">IF(L40="","",IF(INDEX(Itinerary!$B$6:$B$85,$L40)="","",INDEX(Itinerary!$B$6:$B$85,$L40)))</f>
        <v/>
      </c>
      <c r="D40" s="137" t="str">
        <f aca="false">IF(L40="","",INDEX(Itinerary!$C$6:$C$85,$L40)&amp;"")</f>
        <v/>
      </c>
      <c r="E40" s="137" t="str">
        <f aca="false">IF(L40="","",INDEX(Itinerary!$D$6:$D$85,$L40)&amp;"")</f>
        <v/>
      </c>
      <c r="F40" s="137"/>
      <c r="G40" s="137"/>
      <c r="H40" s="137" t="str">
        <f aca="false">IF(L40="","",INDEX(Itinerary!$F$6:$F$85,$L40)&amp;"")</f>
        <v/>
      </c>
      <c r="I40" s="137" t="str">
        <f aca="false">IF(L40="","",IF(INDEX(Itinerary!$L$6:$L$85,$L40)="",INDEX(Itinerary!$G$6:$G$85,$L40)&amp;"",INDEX(Itinerary!$L$6:$L$85,$L40)))</f>
        <v/>
      </c>
      <c r="K40" s="60" t="str">
        <f aca="false">IFERROR(SMALL(Itinerary!$M$6:$M$85,8),"")</f>
        <v/>
      </c>
      <c r="L40" s="60" t="str">
        <f aca="false">IF(K40="","",MATCH(K40,Itinerary!$M$6:$M$85,0))</f>
        <v/>
      </c>
    </row>
    <row r="41" customFormat="false" ht="15" hidden="false" customHeight="false" outlineLevel="0" collapsed="false">
      <c r="B41" s="139" t="str">
        <f aca="false">IF(L41="","",IF(AND(L40&lt;&gt;"",INDEX(Itinerary!$J$6:$J$85,L40)=INDEX(Itinerary!$J$6:$J$85,$L41)),"",IF(INDEX(Itinerary!$J$6:$J$85,$L41)=0,"Pre-trip","Day "&amp;INDEX(Itinerary!$J$6:$J$85,$L41)&amp;" · "&amp;TEXT(INDEX(Itinerary!$K$6:$K$85,$L41),"dd mmm"))))</f>
        <v/>
      </c>
      <c r="C41" s="143" t="str">
        <f aca="false">IF(L41="","",IF(INDEX(Itinerary!$B$6:$B$85,$L41)="","",INDEX(Itinerary!$B$6:$B$85,$L41)))</f>
        <v/>
      </c>
      <c r="D41" s="137" t="str">
        <f aca="false">IF(L41="","",INDEX(Itinerary!$C$6:$C$85,$L41)&amp;"")</f>
        <v/>
      </c>
      <c r="E41" s="137" t="str">
        <f aca="false">IF(L41="","",INDEX(Itinerary!$D$6:$D$85,$L41)&amp;"")</f>
        <v/>
      </c>
      <c r="F41" s="137"/>
      <c r="G41" s="137"/>
      <c r="H41" s="137" t="str">
        <f aca="false">IF(L41="","",INDEX(Itinerary!$F$6:$F$85,$L41)&amp;"")</f>
        <v/>
      </c>
      <c r="I41" s="137" t="str">
        <f aca="false">IF(L41="","",IF(INDEX(Itinerary!$L$6:$L$85,$L41)="",INDEX(Itinerary!$G$6:$G$85,$L41)&amp;"",INDEX(Itinerary!$L$6:$L$85,$L41)))</f>
        <v/>
      </c>
      <c r="K41" s="60" t="str">
        <f aca="false">IFERROR(SMALL(Itinerary!$M$6:$M$85,9),"")</f>
        <v/>
      </c>
      <c r="L41" s="60" t="str">
        <f aca="false">IF(K41="","",MATCH(K41,Itinerary!$M$6:$M$85,0))</f>
        <v/>
      </c>
    </row>
    <row r="42" customFormat="false" ht="15" hidden="false" customHeight="false" outlineLevel="0" collapsed="false">
      <c r="B42" s="139" t="str">
        <f aca="false">IF(L42="","",IF(AND(L41&lt;&gt;"",INDEX(Itinerary!$J$6:$J$85,L41)=INDEX(Itinerary!$J$6:$J$85,$L42)),"",IF(INDEX(Itinerary!$J$6:$J$85,$L42)=0,"Pre-trip","Day "&amp;INDEX(Itinerary!$J$6:$J$85,$L42)&amp;" · "&amp;TEXT(INDEX(Itinerary!$K$6:$K$85,$L42),"dd mmm"))))</f>
        <v/>
      </c>
      <c r="C42" s="143" t="str">
        <f aca="false">IF(L42="","",IF(INDEX(Itinerary!$B$6:$B$85,$L42)="","",INDEX(Itinerary!$B$6:$B$85,$L42)))</f>
        <v/>
      </c>
      <c r="D42" s="137" t="str">
        <f aca="false">IF(L42="","",INDEX(Itinerary!$C$6:$C$85,$L42)&amp;"")</f>
        <v/>
      </c>
      <c r="E42" s="137" t="str">
        <f aca="false">IF(L42="","",INDEX(Itinerary!$D$6:$D$85,$L42)&amp;"")</f>
        <v/>
      </c>
      <c r="F42" s="137"/>
      <c r="G42" s="137"/>
      <c r="H42" s="137" t="str">
        <f aca="false">IF(L42="","",INDEX(Itinerary!$F$6:$F$85,$L42)&amp;"")</f>
        <v/>
      </c>
      <c r="I42" s="137" t="str">
        <f aca="false">IF(L42="","",IF(INDEX(Itinerary!$L$6:$L$85,$L42)="",INDEX(Itinerary!$G$6:$G$85,$L42)&amp;"",INDEX(Itinerary!$L$6:$L$85,$L42)))</f>
        <v/>
      </c>
      <c r="K42" s="60" t="str">
        <f aca="false">IFERROR(SMALL(Itinerary!$M$6:$M$85,10),"")</f>
        <v/>
      </c>
      <c r="L42" s="60" t="str">
        <f aca="false">IF(K42="","",MATCH(K42,Itinerary!$M$6:$M$85,0))</f>
        <v/>
      </c>
    </row>
    <row r="43" customFormat="false" ht="15" hidden="false" customHeight="false" outlineLevel="0" collapsed="false">
      <c r="B43" s="139" t="str">
        <f aca="false">IF(L43="","",IF(AND(L42&lt;&gt;"",INDEX(Itinerary!$J$6:$J$85,L42)=INDEX(Itinerary!$J$6:$J$85,$L43)),"",IF(INDEX(Itinerary!$J$6:$J$85,$L43)=0,"Pre-trip","Day "&amp;INDEX(Itinerary!$J$6:$J$85,$L43)&amp;" · "&amp;TEXT(INDEX(Itinerary!$K$6:$K$85,$L43),"dd mmm"))))</f>
        <v/>
      </c>
      <c r="C43" s="143" t="str">
        <f aca="false">IF(L43="","",IF(INDEX(Itinerary!$B$6:$B$85,$L43)="","",INDEX(Itinerary!$B$6:$B$85,$L43)))</f>
        <v/>
      </c>
      <c r="D43" s="137" t="str">
        <f aca="false">IF(L43="","",INDEX(Itinerary!$C$6:$C$85,$L43)&amp;"")</f>
        <v/>
      </c>
      <c r="E43" s="137" t="str">
        <f aca="false">IF(L43="","",INDEX(Itinerary!$D$6:$D$85,$L43)&amp;"")</f>
        <v/>
      </c>
      <c r="F43" s="137"/>
      <c r="G43" s="137"/>
      <c r="H43" s="137" t="str">
        <f aca="false">IF(L43="","",INDEX(Itinerary!$F$6:$F$85,$L43)&amp;"")</f>
        <v/>
      </c>
      <c r="I43" s="137" t="str">
        <f aca="false">IF(L43="","",IF(INDEX(Itinerary!$L$6:$L$85,$L43)="",INDEX(Itinerary!$G$6:$G$85,$L43)&amp;"",INDEX(Itinerary!$L$6:$L$85,$L43)))</f>
        <v/>
      </c>
      <c r="K43" s="60" t="str">
        <f aca="false">IFERROR(SMALL(Itinerary!$M$6:$M$85,11),"")</f>
        <v/>
      </c>
      <c r="L43" s="60" t="str">
        <f aca="false">IF(K43="","",MATCH(K43,Itinerary!$M$6:$M$85,0))</f>
        <v/>
      </c>
    </row>
    <row r="44" customFormat="false" ht="15" hidden="false" customHeight="false" outlineLevel="0" collapsed="false">
      <c r="B44" s="139" t="str">
        <f aca="false">IF(L44="","",IF(AND(L43&lt;&gt;"",INDEX(Itinerary!$J$6:$J$85,L43)=INDEX(Itinerary!$J$6:$J$85,$L44)),"",IF(INDEX(Itinerary!$J$6:$J$85,$L44)=0,"Pre-trip","Day "&amp;INDEX(Itinerary!$J$6:$J$85,$L44)&amp;" · "&amp;TEXT(INDEX(Itinerary!$K$6:$K$85,$L44),"dd mmm"))))</f>
        <v/>
      </c>
      <c r="C44" s="143" t="str">
        <f aca="false">IF(L44="","",IF(INDEX(Itinerary!$B$6:$B$85,$L44)="","",INDEX(Itinerary!$B$6:$B$85,$L44)))</f>
        <v/>
      </c>
      <c r="D44" s="137" t="str">
        <f aca="false">IF(L44="","",INDEX(Itinerary!$C$6:$C$85,$L44)&amp;"")</f>
        <v/>
      </c>
      <c r="E44" s="137" t="str">
        <f aca="false">IF(L44="","",INDEX(Itinerary!$D$6:$D$85,$L44)&amp;"")</f>
        <v/>
      </c>
      <c r="F44" s="137"/>
      <c r="G44" s="137"/>
      <c r="H44" s="137" t="str">
        <f aca="false">IF(L44="","",INDEX(Itinerary!$F$6:$F$85,$L44)&amp;"")</f>
        <v/>
      </c>
      <c r="I44" s="137" t="str">
        <f aca="false">IF(L44="","",IF(INDEX(Itinerary!$L$6:$L$85,$L44)="",INDEX(Itinerary!$G$6:$G$85,$L44)&amp;"",INDEX(Itinerary!$L$6:$L$85,$L44)))</f>
        <v/>
      </c>
      <c r="K44" s="60" t="str">
        <f aca="false">IFERROR(SMALL(Itinerary!$M$6:$M$85,12),"")</f>
        <v/>
      </c>
      <c r="L44" s="60" t="str">
        <f aca="false">IF(K44="","",MATCH(K44,Itinerary!$M$6:$M$85,0))</f>
        <v/>
      </c>
    </row>
    <row r="45" customFormat="false" ht="15" hidden="false" customHeight="false" outlineLevel="0" collapsed="false">
      <c r="B45" s="139" t="str">
        <f aca="false">IF(L45="","",IF(AND(L44&lt;&gt;"",INDEX(Itinerary!$J$6:$J$85,L44)=INDEX(Itinerary!$J$6:$J$85,$L45)),"",IF(INDEX(Itinerary!$J$6:$J$85,$L45)=0,"Pre-trip","Day "&amp;INDEX(Itinerary!$J$6:$J$85,$L45)&amp;" · "&amp;TEXT(INDEX(Itinerary!$K$6:$K$85,$L45),"dd mmm"))))</f>
        <v/>
      </c>
      <c r="C45" s="143" t="str">
        <f aca="false">IF(L45="","",IF(INDEX(Itinerary!$B$6:$B$85,$L45)="","",INDEX(Itinerary!$B$6:$B$85,$L45)))</f>
        <v/>
      </c>
      <c r="D45" s="137" t="str">
        <f aca="false">IF(L45="","",INDEX(Itinerary!$C$6:$C$85,$L45)&amp;"")</f>
        <v/>
      </c>
      <c r="E45" s="137" t="str">
        <f aca="false">IF(L45="","",INDEX(Itinerary!$D$6:$D$85,$L45)&amp;"")</f>
        <v/>
      </c>
      <c r="F45" s="137"/>
      <c r="G45" s="137"/>
      <c r="H45" s="137" t="str">
        <f aca="false">IF(L45="","",INDEX(Itinerary!$F$6:$F$85,$L45)&amp;"")</f>
        <v/>
      </c>
      <c r="I45" s="137" t="str">
        <f aca="false">IF(L45="","",IF(INDEX(Itinerary!$L$6:$L$85,$L45)="",INDEX(Itinerary!$G$6:$G$85,$L45)&amp;"",INDEX(Itinerary!$L$6:$L$85,$L45)))</f>
        <v/>
      </c>
      <c r="K45" s="60" t="str">
        <f aca="false">IFERROR(SMALL(Itinerary!$M$6:$M$85,13),"")</f>
        <v/>
      </c>
      <c r="L45" s="60" t="str">
        <f aca="false">IF(K45="","",MATCH(K45,Itinerary!$M$6:$M$85,0))</f>
        <v/>
      </c>
    </row>
    <row r="46" customFormat="false" ht="15" hidden="false" customHeight="false" outlineLevel="0" collapsed="false">
      <c r="B46" s="139" t="str">
        <f aca="false">IF(L46="","",IF(AND(L45&lt;&gt;"",INDEX(Itinerary!$J$6:$J$85,L45)=INDEX(Itinerary!$J$6:$J$85,$L46)),"",IF(INDEX(Itinerary!$J$6:$J$85,$L46)=0,"Pre-trip","Day "&amp;INDEX(Itinerary!$J$6:$J$85,$L46)&amp;" · "&amp;TEXT(INDEX(Itinerary!$K$6:$K$85,$L46),"dd mmm"))))</f>
        <v/>
      </c>
      <c r="C46" s="143" t="str">
        <f aca="false">IF(L46="","",IF(INDEX(Itinerary!$B$6:$B$85,$L46)="","",INDEX(Itinerary!$B$6:$B$85,$L46)))</f>
        <v/>
      </c>
      <c r="D46" s="137" t="str">
        <f aca="false">IF(L46="","",INDEX(Itinerary!$C$6:$C$85,$L46)&amp;"")</f>
        <v/>
      </c>
      <c r="E46" s="137" t="str">
        <f aca="false">IF(L46="","",INDEX(Itinerary!$D$6:$D$85,$L46)&amp;"")</f>
        <v/>
      </c>
      <c r="F46" s="137"/>
      <c r="G46" s="137"/>
      <c r="H46" s="137" t="str">
        <f aca="false">IF(L46="","",INDEX(Itinerary!$F$6:$F$85,$L46)&amp;"")</f>
        <v/>
      </c>
      <c r="I46" s="137" t="str">
        <f aca="false">IF(L46="","",IF(INDEX(Itinerary!$L$6:$L$85,$L46)="",INDEX(Itinerary!$G$6:$G$85,$L46)&amp;"",INDEX(Itinerary!$L$6:$L$85,$L46)))</f>
        <v/>
      </c>
      <c r="K46" s="60" t="str">
        <f aca="false">IFERROR(SMALL(Itinerary!$M$6:$M$85,14),"")</f>
        <v/>
      </c>
      <c r="L46" s="60" t="str">
        <f aca="false">IF(K46="","",MATCH(K46,Itinerary!$M$6:$M$85,0))</f>
        <v/>
      </c>
    </row>
    <row r="47" customFormat="false" ht="15" hidden="false" customHeight="false" outlineLevel="0" collapsed="false">
      <c r="B47" s="139" t="str">
        <f aca="false">IF(L47="","",IF(AND(L46&lt;&gt;"",INDEX(Itinerary!$J$6:$J$85,L46)=INDEX(Itinerary!$J$6:$J$85,$L47)),"",IF(INDEX(Itinerary!$J$6:$J$85,$L47)=0,"Pre-trip","Day "&amp;INDEX(Itinerary!$J$6:$J$85,$L47)&amp;" · "&amp;TEXT(INDEX(Itinerary!$K$6:$K$85,$L47),"dd mmm"))))</f>
        <v/>
      </c>
      <c r="C47" s="143" t="str">
        <f aca="false">IF(L47="","",IF(INDEX(Itinerary!$B$6:$B$85,$L47)="","",INDEX(Itinerary!$B$6:$B$85,$L47)))</f>
        <v/>
      </c>
      <c r="D47" s="137" t="str">
        <f aca="false">IF(L47="","",INDEX(Itinerary!$C$6:$C$85,$L47)&amp;"")</f>
        <v/>
      </c>
      <c r="E47" s="137" t="str">
        <f aca="false">IF(L47="","",INDEX(Itinerary!$D$6:$D$85,$L47)&amp;"")</f>
        <v/>
      </c>
      <c r="F47" s="137"/>
      <c r="G47" s="137"/>
      <c r="H47" s="137" t="str">
        <f aca="false">IF(L47="","",INDEX(Itinerary!$F$6:$F$85,$L47)&amp;"")</f>
        <v/>
      </c>
      <c r="I47" s="137" t="str">
        <f aca="false">IF(L47="","",IF(INDEX(Itinerary!$L$6:$L$85,$L47)="",INDEX(Itinerary!$G$6:$G$85,$L47)&amp;"",INDEX(Itinerary!$L$6:$L$85,$L47)))</f>
        <v/>
      </c>
      <c r="K47" s="60" t="str">
        <f aca="false">IFERROR(SMALL(Itinerary!$M$6:$M$85,15),"")</f>
        <v/>
      </c>
      <c r="L47" s="60" t="str">
        <f aca="false">IF(K47="","",MATCH(K47,Itinerary!$M$6:$M$85,0))</f>
        <v/>
      </c>
    </row>
    <row r="48" customFormat="false" ht="15" hidden="false" customHeight="false" outlineLevel="0" collapsed="false">
      <c r="B48" s="139" t="str">
        <f aca="false">IF(L48="","",IF(AND(L47&lt;&gt;"",INDEX(Itinerary!$J$6:$J$85,L47)=INDEX(Itinerary!$J$6:$J$85,$L48)),"",IF(INDEX(Itinerary!$J$6:$J$85,$L48)=0,"Pre-trip","Day "&amp;INDEX(Itinerary!$J$6:$J$85,$L48)&amp;" · "&amp;TEXT(INDEX(Itinerary!$K$6:$K$85,$L48),"dd mmm"))))</f>
        <v/>
      </c>
      <c r="C48" s="143" t="str">
        <f aca="false">IF(L48="","",IF(INDEX(Itinerary!$B$6:$B$85,$L48)="","",INDEX(Itinerary!$B$6:$B$85,$L48)))</f>
        <v/>
      </c>
      <c r="D48" s="137" t="str">
        <f aca="false">IF(L48="","",INDEX(Itinerary!$C$6:$C$85,$L48)&amp;"")</f>
        <v/>
      </c>
      <c r="E48" s="137" t="str">
        <f aca="false">IF(L48="","",INDEX(Itinerary!$D$6:$D$85,$L48)&amp;"")</f>
        <v/>
      </c>
      <c r="F48" s="137"/>
      <c r="G48" s="137"/>
      <c r="H48" s="137" t="str">
        <f aca="false">IF(L48="","",INDEX(Itinerary!$F$6:$F$85,$L48)&amp;"")</f>
        <v/>
      </c>
      <c r="I48" s="137" t="str">
        <f aca="false">IF(L48="","",IF(INDEX(Itinerary!$L$6:$L$85,$L48)="",INDEX(Itinerary!$G$6:$G$85,$L48)&amp;"",INDEX(Itinerary!$L$6:$L$85,$L48)))</f>
        <v/>
      </c>
      <c r="K48" s="60" t="str">
        <f aca="false">IFERROR(SMALL(Itinerary!$M$6:$M$85,16),"")</f>
        <v/>
      </c>
      <c r="L48" s="60" t="str">
        <f aca="false">IF(K48="","",MATCH(K48,Itinerary!$M$6:$M$85,0))</f>
        <v/>
      </c>
    </row>
    <row r="49" customFormat="false" ht="15" hidden="false" customHeight="false" outlineLevel="0" collapsed="false">
      <c r="B49" s="139" t="str">
        <f aca="false">IF(L49="","",IF(AND(L48&lt;&gt;"",INDEX(Itinerary!$J$6:$J$85,L48)=INDEX(Itinerary!$J$6:$J$85,$L49)),"",IF(INDEX(Itinerary!$J$6:$J$85,$L49)=0,"Pre-trip","Day "&amp;INDEX(Itinerary!$J$6:$J$85,$L49)&amp;" · "&amp;TEXT(INDEX(Itinerary!$K$6:$K$85,$L49),"dd mmm"))))</f>
        <v/>
      </c>
      <c r="C49" s="143" t="str">
        <f aca="false">IF(L49="","",IF(INDEX(Itinerary!$B$6:$B$85,$L49)="","",INDEX(Itinerary!$B$6:$B$85,$L49)))</f>
        <v/>
      </c>
      <c r="D49" s="137" t="str">
        <f aca="false">IF(L49="","",INDEX(Itinerary!$C$6:$C$85,$L49)&amp;"")</f>
        <v/>
      </c>
      <c r="E49" s="137" t="str">
        <f aca="false">IF(L49="","",INDEX(Itinerary!$D$6:$D$85,$L49)&amp;"")</f>
        <v/>
      </c>
      <c r="F49" s="137"/>
      <c r="G49" s="137"/>
      <c r="H49" s="137" t="str">
        <f aca="false">IF(L49="","",INDEX(Itinerary!$F$6:$F$85,$L49)&amp;"")</f>
        <v/>
      </c>
      <c r="I49" s="137" t="str">
        <f aca="false">IF(L49="","",IF(INDEX(Itinerary!$L$6:$L$85,$L49)="",INDEX(Itinerary!$G$6:$G$85,$L49)&amp;"",INDEX(Itinerary!$L$6:$L$85,$L49)))</f>
        <v/>
      </c>
      <c r="K49" s="60" t="str">
        <f aca="false">IFERROR(SMALL(Itinerary!$M$6:$M$85,17),"")</f>
        <v/>
      </c>
      <c r="L49" s="60" t="str">
        <f aca="false">IF(K49="","",MATCH(K49,Itinerary!$M$6:$M$85,0))</f>
        <v/>
      </c>
    </row>
    <row r="50" customFormat="false" ht="15" hidden="false" customHeight="false" outlineLevel="0" collapsed="false">
      <c r="B50" s="139" t="str">
        <f aca="false">IF(L50="","",IF(AND(L49&lt;&gt;"",INDEX(Itinerary!$J$6:$J$85,L49)=INDEX(Itinerary!$J$6:$J$85,$L50)),"",IF(INDEX(Itinerary!$J$6:$J$85,$L50)=0,"Pre-trip","Day "&amp;INDEX(Itinerary!$J$6:$J$85,$L50)&amp;" · "&amp;TEXT(INDEX(Itinerary!$K$6:$K$85,$L50),"dd mmm"))))</f>
        <v/>
      </c>
      <c r="C50" s="143" t="str">
        <f aca="false">IF(L50="","",IF(INDEX(Itinerary!$B$6:$B$85,$L50)="","",INDEX(Itinerary!$B$6:$B$85,$L50)))</f>
        <v/>
      </c>
      <c r="D50" s="137" t="str">
        <f aca="false">IF(L50="","",INDEX(Itinerary!$C$6:$C$85,$L50)&amp;"")</f>
        <v/>
      </c>
      <c r="E50" s="137" t="str">
        <f aca="false">IF(L50="","",INDEX(Itinerary!$D$6:$D$85,$L50)&amp;"")</f>
        <v/>
      </c>
      <c r="F50" s="137"/>
      <c r="G50" s="137"/>
      <c r="H50" s="137" t="str">
        <f aca="false">IF(L50="","",INDEX(Itinerary!$F$6:$F$85,$L50)&amp;"")</f>
        <v/>
      </c>
      <c r="I50" s="137" t="str">
        <f aca="false">IF(L50="","",IF(INDEX(Itinerary!$L$6:$L$85,$L50)="",INDEX(Itinerary!$G$6:$G$85,$L50)&amp;"",INDEX(Itinerary!$L$6:$L$85,$L50)))</f>
        <v/>
      </c>
      <c r="K50" s="60" t="str">
        <f aca="false">IFERROR(SMALL(Itinerary!$M$6:$M$85,18),"")</f>
        <v/>
      </c>
      <c r="L50" s="60" t="str">
        <f aca="false">IF(K50="","",MATCH(K50,Itinerary!$M$6:$M$85,0))</f>
        <v/>
      </c>
    </row>
    <row r="52" customFormat="false" ht="15" hidden="false" customHeight="false" outlineLevel="0" collapsed="false">
      <c r="B52" s="134" t="s">
        <v>270</v>
      </c>
      <c r="G52" s="134" t="s">
        <v>258</v>
      </c>
    </row>
    <row r="53" customFormat="false" ht="15" hidden="false" customHeight="false" outlineLevel="0" collapsed="false">
      <c r="B53" s="135" t="s">
        <v>271</v>
      </c>
      <c r="C53" s="135"/>
      <c r="D53" s="135" t="s">
        <v>272</v>
      </c>
      <c r="E53" s="135"/>
      <c r="F53" s="136" t="s">
        <v>165</v>
      </c>
      <c r="G53" s="135" t="s">
        <v>167</v>
      </c>
      <c r="H53" s="135"/>
      <c r="I53" s="136" t="s">
        <v>273</v>
      </c>
    </row>
    <row r="54" customFormat="false" ht="15" hidden="false" customHeight="false" outlineLevel="0" collapsed="false">
      <c r="B54" s="137" t="str">
        <f aca="false">IFERROR(INDEX(Contacts!$A$6:$A$45,MATCH(1,Contacts!$L$6:$L$45,0))&amp;"","")</f>
        <v/>
      </c>
      <c r="C54" s="137"/>
      <c r="D54" s="139" t="str">
        <f aca="false">IFERROR(INDEX(Contacts!$B$6:$B$45,MATCH(1,Contacts!$L$6:$L$45,0))&amp;"","")&amp;IF(IFERROR(INDEX(Contacts!$G$6:$G$45,MATCH(1,Contacts!$L$6:$L$45,0))&amp;"","")="",""," · "&amp;IFERROR(INDEX(Contacts!$G$6:$G$45,MATCH(1,Contacts!$L$6:$L$45,0))&amp;"",""))</f>
        <v/>
      </c>
      <c r="E54" s="139"/>
      <c r="F54" s="137" t="str">
        <f aca="false">IFERROR(INDEX(Contacts!$D$6:$D$45,MATCH(1,Contacts!$L$6:$L$45,0))&amp;"","")</f>
        <v/>
      </c>
      <c r="G54" s="141" t="s">
        <v>274</v>
      </c>
      <c r="H54" s="141"/>
      <c r="I54" s="137" t="str">
        <f aca="false">Setup!$H$37&amp;""</f>
        <v/>
      </c>
    </row>
    <row r="55" customFormat="false" ht="15" hidden="false" customHeight="false" outlineLevel="0" collapsed="false">
      <c r="B55" s="137" t="str">
        <f aca="false">IFERROR(INDEX(Contacts!$A$6:$A$45,MATCH(2,Contacts!$L$6:$L$45,0))&amp;"","")</f>
        <v/>
      </c>
      <c r="C55" s="137"/>
      <c r="D55" s="139" t="str">
        <f aca="false">IFERROR(INDEX(Contacts!$B$6:$B$45,MATCH(2,Contacts!$L$6:$L$45,0))&amp;"","")&amp;IF(IFERROR(INDEX(Contacts!$G$6:$G$45,MATCH(2,Contacts!$L$6:$L$45,0))&amp;"","")="",""," · "&amp;IFERROR(INDEX(Contacts!$G$6:$G$45,MATCH(2,Contacts!$L$6:$L$45,0))&amp;"",""))</f>
        <v/>
      </c>
      <c r="E55" s="139"/>
      <c r="F55" s="137" t="str">
        <f aca="false">IFERROR(INDEX(Contacts!$D$6:$D$45,MATCH(2,Contacts!$L$6:$L$45,0))&amp;"","")</f>
        <v/>
      </c>
      <c r="G55" s="141" t="s">
        <v>109</v>
      </c>
      <c r="H55" s="141"/>
      <c r="I55" s="137" t="str">
        <f aca="false">Setup!$H$38&amp;""</f>
        <v/>
      </c>
    </row>
    <row r="56" customFormat="false" ht="15" hidden="false" customHeight="false" outlineLevel="0" collapsed="false">
      <c r="B56" s="137" t="str">
        <f aca="false">IFERROR(INDEX(Contacts!$A$6:$A$45,MATCH(3,Contacts!$L$6:$L$45,0))&amp;"","")</f>
        <v/>
      </c>
      <c r="C56" s="137"/>
      <c r="D56" s="139" t="str">
        <f aca="false">IFERROR(INDEX(Contacts!$B$6:$B$45,MATCH(3,Contacts!$L$6:$L$45,0))&amp;"","")&amp;IF(IFERROR(INDEX(Contacts!$G$6:$G$45,MATCH(3,Contacts!$L$6:$L$45,0))&amp;"","")="",""," · "&amp;IFERROR(INDEX(Contacts!$G$6:$G$45,MATCH(3,Contacts!$L$6:$L$45,0))&amp;"",""))</f>
        <v/>
      </c>
      <c r="E56" s="139"/>
      <c r="F56" s="137" t="str">
        <f aca="false">IFERROR(INDEX(Contacts!$D$6:$D$45,MATCH(3,Contacts!$L$6:$L$45,0))&amp;"","")</f>
        <v/>
      </c>
      <c r="G56" s="141" t="s">
        <v>110</v>
      </c>
      <c r="H56" s="141"/>
      <c r="I56" s="137" t="str">
        <f aca="false">Setup!$H$39&amp;""</f>
        <v/>
      </c>
    </row>
    <row r="57" customFormat="false" ht="15" hidden="false" customHeight="false" outlineLevel="0" collapsed="false">
      <c r="B57" s="137" t="str">
        <f aca="false">IFERROR(INDEX(Contacts!$A$6:$A$45,MATCH(4,Contacts!$L$6:$L$45,0))&amp;"","")</f>
        <v/>
      </c>
      <c r="C57" s="137"/>
      <c r="D57" s="139" t="str">
        <f aca="false">IFERROR(INDEX(Contacts!$B$6:$B$45,MATCH(4,Contacts!$L$6:$L$45,0))&amp;"","")&amp;IF(IFERROR(INDEX(Contacts!$G$6:$G$45,MATCH(4,Contacts!$L$6:$L$45,0))&amp;"","")="",""," · "&amp;IFERROR(INDEX(Contacts!$G$6:$G$45,MATCH(4,Contacts!$L$6:$L$45,0))&amp;"",""))</f>
        <v/>
      </c>
      <c r="E57" s="139"/>
      <c r="F57" s="137" t="str">
        <f aca="false">IFERROR(INDEX(Contacts!$D$6:$D$45,MATCH(4,Contacts!$L$6:$L$45,0))&amp;"","")</f>
        <v/>
      </c>
      <c r="G57" s="141" t="s">
        <v>111</v>
      </c>
      <c r="H57" s="141"/>
      <c r="I57" s="137" t="str">
        <f aca="false">Setup!$H$40&amp;""</f>
        <v/>
      </c>
    </row>
    <row r="58" customFormat="false" ht="15" hidden="false" customHeight="false" outlineLevel="0" collapsed="false">
      <c r="B58" s="137" t="str">
        <f aca="false">IFERROR(INDEX(Contacts!$A$6:$A$45,MATCH(5,Contacts!$L$6:$L$45,0))&amp;"","")</f>
        <v/>
      </c>
      <c r="C58" s="137"/>
      <c r="D58" s="139" t="str">
        <f aca="false">IFERROR(INDEX(Contacts!$B$6:$B$45,MATCH(5,Contacts!$L$6:$L$45,0))&amp;"","")&amp;IF(IFERROR(INDEX(Contacts!$G$6:$G$45,MATCH(5,Contacts!$L$6:$L$45,0))&amp;"","")="",""," · "&amp;IFERROR(INDEX(Contacts!$G$6:$G$45,MATCH(5,Contacts!$L$6:$L$45,0))&amp;"",""))</f>
        <v/>
      </c>
      <c r="E58" s="139"/>
      <c r="F58" s="137" t="str">
        <f aca="false">IFERROR(INDEX(Contacts!$D$6:$D$45,MATCH(5,Contacts!$L$6:$L$45,0))&amp;"","")</f>
        <v/>
      </c>
      <c r="G58" s="141" t="s">
        <v>112</v>
      </c>
      <c r="H58" s="141"/>
      <c r="I58" s="137" t="str">
        <f aca="false">Setup!$H$41&amp;""</f>
        <v/>
      </c>
    </row>
    <row r="59" customFormat="false" ht="15" hidden="false" customHeight="false" outlineLevel="0" collapsed="false">
      <c r="B59" s="137" t="str">
        <f aca="false">IFERROR(INDEX(Contacts!$A$6:$A$45,MATCH(6,Contacts!$L$6:$L$45,0))&amp;"","")</f>
        <v/>
      </c>
      <c r="C59" s="137"/>
      <c r="D59" s="139" t="str">
        <f aca="false">IFERROR(INDEX(Contacts!$B$6:$B$45,MATCH(6,Contacts!$L$6:$L$45,0))&amp;"","")&amp;IF(IFERROR(INDEX(Contacts!$G$6:$G$45,MATCH(6,Contacts!$L$6:$L$45,0))&amp;"","")="",""," · "&amp;IFERROR(INDEX(Contacts!$G$6:$G$45,MATCH(6,Contacts!$L$6:$L$45,0))&amp;"",""))</f>
        <v/>
      </c>
      <c r="E59" s="139"/>
      <c r="F59" s="137" t="str">
        <f aca="false">IFERROR(INDEX(Contacts!$D$6:$D$45,MATCH(6,Contacts!$L$6:$L$45,0))&amp;"","")</f>
        <v/>
      </c>
      <c r="G59" s="141" t="s">
        <v>113</v>
      </c>
      <c r="H59" s="141"/>
      <c r="I59" s="137" t="str">
        <f aca="false">Setup!$H$42&amp;""</f>
        <v/>
      </c>
    </row>
    <row r="61" customFormat="false" ht="15" hidden="false" customHeight="false" outlineLevel="0" collapsed="false">
      <c r="B61" s="144" t="s">
        <v>275</v>
      </c>
      <c r="C61" s="144"/>
      <c r="D61" s="144"/>
      <c r="E61" s="144"/>
      <c r="F61" s="144"/>
      <c r="G61" s="144"/>
      <c r="H61" s="144"/>
      <c r="I61" s="144"/>
    </row>
  </sheetData>
  <sheetProtection sheet="true" password="ecf5" formatRows="false"/>
  <mergeCells count="78">
    <mergeCell ref="B1:I1"/>
    <mergeCell ref="B2:I2"/>
    <mergeCell ref="B3:I3"/>
    <mergeCell ref="B5:C5"/>
    <mergeCell ref="D5:E5"/>
    <mergeCell ref="F5:G5"/>
    <mergeCell ref="H5:I5"/>
    <mergeCell ref="B6:C6"/>
    <mergeCell ref="D6:E6"/>
    <mergeCell ref="F6:G6"/>
    <mergeCell ref="H6:I6"/>
    <mergeCell ref="B7:I7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3:D23"/>
    <mergeCell ref="F23:I23"/>
    <mergeCell ref="B24:D24"/>
    <mergeCell ref="G24:I24"/>
    <mergeCell ref="B25:D25"/>
    <mergeCell ref="G25:I25"/>
    <mergeCell ref="B26:D26"/>
    <mergeCell ref="G26:I26"/>
    <mergeCell ref="B27:D27"/>
    <mergeCell ref="G27:I27"/>
    <mergeCell ref="B28:D28"/>
    <mergeCell ref="G28:I28"/>
    <mergeCell ref="B29:D29"/>
    <mergeCell ref="G29:I29"/>
    <mergeCell ref="E32:G32"/>
    <mergeCell ref="E33:G33"/>
    <mergeCell ref="E34:G34"/>
    <mergeCell ref="E35:G35"/>
    <mergeCell ref="E36:G36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46:G46"/>
    <mergeCell ref="E47:G47"/>
    <mergeCell ref="E48:G48"/>
    <mergeCell ref="E49:G49"/>
    <mergeCell ref="E50:G50"/>
    <mergeCell ref="B53:C53"/>
    <mergeCell ref="D53:E53"/>
    <mergeCell ref="G53:H53"/>
    <mergeCell ref="B54:C54"/>
    <mergeCell ref="D54:E54"/>
    <mergeCell ref="G54:H54"/>
    <mergeCell ref="B55:C55"/>
    <mergeCell ref="D55:E55"/>
    <mergeCell ref="G55:H55"/>
    <mergeCell ref="B56:C56"/>
    <mergeCell ref="D56:E56"/>
    <mergeCell ref="G56:H56"/>
    <mergeCell ref="B57:C57"/>
    <mergeCell ref="D57:E57"/>
    <mergeCell ref="G57:H57"/>
    <mergeCell ref="B58:C58"/>
    <mergeCell ref="D58:E58"/>
    <mergeCell ref="G58:H58"/>
    <mergeCell ref="B59:C59"/>
    <mergeCell ref="D59:E59"/>
    <mergeCell ref="G59:H59"/>
    <mergeCell ref="B61:I61"/>
  </mergeCells>
  <printOptions headings="false" gridLines="false" gridLinesSet="true" horizontalCentered="true" verticalCentered="false"/>
  <pageMargins left="0.35" right="0.35" top="0.35" bottom="0.3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K84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5"/>
    <col collapsed="false" customWidth="true" hidden="false" outlineLevel="0" max="3" min="3" style="0" width="7"/>
    <col collapsed="false" customWidth="true" hidden="false" outlineLevel="0" max="4" min="4" style="0" width="16"/>
    <col collapsed="false" customWidth="true" hidden="false" outlineLevel="0" max="5" min="5" style="0" width="38"/>
    <col collapsed="false" customWidth="true" hidden="false" outlineLevel="0" max="6" min="6" style="0" width="13"/>
    <col collapsed="false" customWidth="true" hidden="false" outlineLevel="0" max="7" min="7" style="0" width="14"/>
    <col collapsed="false" customWidth="true" hidden="false" outlineLevel="0" max="8" min="8" style="0" width="22"/>
    <col collapsed="false" customWidth="true" hidden="true" outlineLevel="0" max="11" min="10" style="0" width="13"/>
  </cols>
  <sheetData>
    <row r="1" customFormat="false" ht="33.75" hidden="false" customHeight="true" outlineLevel="0" collapsed="false">
      <c r="B1" s="145" t="str">
        <f aca="false">TripName&amp;" · itinerary"</f>
        <v>My trip · itinerary</v>
      </c>
      <c r="C1" s="145"/>
      <c r="D1" s="145"/>
      <c r="E1" s="145"/>
      <c r="F1" s="145"/>
      <c r="G1" s="145"/>
      <c r="H1" s="145"/>
    </row>
    <row r="2" customFormat="false" ht="15" hidden="false" customHeight="false" outlineLevel="0" collapsed="false">
      <c r="B2" s="146" t="str">
        <f aca="false">'Print Summary'!B2</f>
        <v/>
      </c>
      <c r="C2" s="146"/>
      <c r="D2" s="146"/>
      <c r="E2" s="146"/>
      <c r="F2" s="146"/>
      <c r="G2" s="146"/>
      <c r="H2" s="146"/>
    </row>
    <row r="4" customFormat="false" ht="15" hidden="false" customHeight="false" outlineLevel="0" collapsed="false">
      <c r="B4" s="147" t="s">
        <v>140</v>
      </c>
      <c r="C4" s="147" t="s">
        <v>146</v>
      </c>
      <c r="D4" s="147" t="s">
        <v>147</v>
      </c>
      <c r="E4" s="147" t="s">
        <v>163</v>
      </c>
      <c r="F4" s="147" t="s">
        <v>271</v>
      </c>
      <c r="G4" s="147" t="s">
        <v>150</v>
      </c>
      <c r="H4" s="147" t="s">
        <v>276</v>
      </c>
    </row>
    <row r="5" customFormat="false" ht="15" hidden="false" customHeight="false" outlineLevel="0" collapsed="false">
      <c r="B5" s="148" t="str">
        <f aca="false">IF(K5="","",IF(INDEX(Itinerary!$J$6:$J$85,$K5)=0,"Pre-trip","Day "&amp;INDEX(Itinerary!$J$6:$J$85,$K5)&amp;" · "&amp;TEXT(INDEX(Itinerary!$K$6:$K$85,$K5),"ddd dd mmm")))</f>
        <v/>
      </c>
      <c r="C5" s="149" t="str">
        <f aca="false">IF(K5="","",IF(INDEX(Itinerary!$B$6:$B$85,$K5)="","",INDEX(Itinerary!$B$6:$B$85,$K5)))</f>
        <v/>
      </c>
      <c r="D5" s="150" t="str">
        <f aca="false">IF(K5="","",INDEX(Itinerary!$C$6:$C$85,$K5)&amp;"")</f>
        <v/>
      </c>
      <c r="E5" s="151" t="str">
        <f aca="false">IF(K5="","",INDEX(Itinerary!$D$6:$D$85,$K5)&amp;"")</f>
        <v/>
      </c>
      <c r="F5" s="150" t="str">
        <f aca="false">IF(K5="","",INDEX(Itinerary!$E$6:$E$85,$K5)&amp;"")</f>
        <v/>
      </c>
      <c r="G5" s="150" t="str">
        <f aca="false">IF(K5="","",INDEX(Itinerary!$F$6:$F$85,$K5)&amp;"")</f>
        <v/>
      </c>
      <c r="H5" s="150" t="str">
        <f aca="false">IF(K5="","",TRIM(INDEX(Itinerary!$G$6:$G$85,$K5)&amp;" "&amp;INDEX(Itinerary!$L$6:$L$85,$K5)))</f>
        <v/>
      </c>
      <c r="J5" s="60" t="str">
        <f aca="false">IFERROR(SMALL(Itinerary!$M$6:$M$85,1),"")</f>
        <v/>
      </c>
      <c r="K5" s="60" t="str">
        <f aca="false">IF(J5="","",MATCH(J5,Itinerary!$M$6:$M$85,0))</f>
        <v/>
      </c>
    </row>
    <row r="6" customFormat="false" ht="15" hidden="false" customHeight="false" outlineLevel="0" collapsed="false">
      <c r="B6" s="148" t="str">
        <f aca="false">IF(K6="","",IF(AND(K5&lt;&gt;"",INDEX(Itinerary!$J$6:$J$85,K5)=INDEX(Itinerary!$J$6:$J$85,$K6)),"",IF(INDEX(Itinerary!$J$6:$J$85,$K6)=0,"Pre-trip","Day "&amp;INDEX(Itinerary!$J$6:$J$85,$K6)&amp;" · "&amp;TEXT(INDEX(Itinerary!$K$6:$K$85,$K6),"ddd dd mmm"))))</f>
        <v/>
      </c>
      <c r="C6" s="149" t="str">
        <f aca="false">IF(K6="","",IF(INDEX(Itinerary!$B$6:$B$85,$K6)="","",INDEX(Itinerary!$B$6:$B$85,$K6)))</f>
        <v/>
      </c>
      <c r="D6" s="150" t="str">
        <f aca="false">IF(K6="","",INDEX(Itinerary!$C$6:$C$85,$K6)&amp;"")</f>
        <v/>
      </c>
      <c r="E6" s="151" t="str">
        <f aca="false">IF(K6="","",INDEX(Itinerary!$D$6:$D$85,$K6)&amp;"")</f>
        <v/>
      </c>
      <c r="F6" s="150" t="str">
        <f aca="false">IF(K6="","",INDEX(Itinerary!$E$6:$E$85,$K6)&amp;"")</f>
        <v/>
      </c>
      <c r="G6" s="150" t="str">
        <f aca="false">IF(K6="","",INDEX(Itinerary!$F$6:$F$85,$K6)&amp;"")</f>
        <v/>
      </c>
      <c r="H6" s="150" t="str">
        <f aca="false">IF(K6="","",TRIM(INDEX(Itinerary!$G$6:$G$85,$K6)&amp;" "&amp;INDEX(Itinerary!$L$6:$L$85,$K6)))</f>
        <v/>
      </c>
      <c r="J6" s="60" t="str">
        <f aca="false">IFERROR(SMALL(Itinerary!$M$6:$M$85,2),"")</f>
        <v/>
      </c>
      <c r="K6" s="60" t="str">
        <f aca="false">IF(J6="","",MATCH(J6,Itinerary!$M$6:$M$85,0))</f>
        <v/>
      </c>
    </row>
    <row r="7" customFormat="false" ht="15" hidden="false" customHeight="false" outlineLevel="0" collapsed="false">
      <c r="B7" s="148" t="str">
        <f aca="false">IF(K7="","",IF(AND(K6&lt;&gt;"",INDEX(Itinerary!$J$6:$J$85,K6)=INDEX(Itinerary!$J$6:$J$85,$K7)),"",IF(INDEX(Itinerary!$J$6:$J$85,$K7)=0,"Pre-trip","Day "&amp;INDEX(Itinerary!$J$6:$J$85,$K7)&amp;" · "&amp;TEXT(INDEX(Itinerary!$K$6:$K$85,$K7),"ddd dd mmm"))))</f>
        <v/>
      </c>
      <c r="C7" s="149" t="str">
        <f aca="false">IF(K7="","",IF(INDEX(Itinerary!$B$6:$B$85,$K7)="","",INDEX(Itinerary!$B$6:$B$85,$K7)))</f>
        <v/>
      </c>
      <c r="D7" s="150" t="str">
        <f aca="false">IF(K7="","",INDEX(Itinerary!$C$6:$C$85,$K7)&amp;"")</f>
        <v/>
      </c>
      <c r="E7" s="151" t="str">
        <f aca="false">IF(K7="","",INDEX(Itinerary!$D$6:$D$85,$K7)&amp;"")</f>
        <v/>
      </c>
      <c r="F7" s="150" t="str">
        <f aca="false">IF(K7="","",INDEX(Itinerary!$E$6:$E$85,$K7)&amp;"")</f>
        <v/>
      </c>
      <c r="G7" s="150" t="str">
        <f aca="false">IF(K7="","",INDEX(Itinerary!$F$6:$F$85,$K7)&amp;"")</f>
        <v/>
      </c>
      <c r="H7" s="150" t="str">
        <f aca="false">IF(K7="","",TRIM(INDEX(Itinerary!$G$6:$G$85,$K7)&amp;" "&amp;INDEX(Itinerary!$L$6:$L$85,$K7)))</f>
        <v/>
      </c>
      <c r="J7" s="60" t="str">
        <f aca="false">IFERROR(SMALL(Itinerary!$M$6:$M$85,3),"")</f>
        <v/>
      </c>
      <c r="K7" s="60" t="str">
        <f aca="false">IF(J7="","",MATCH(J7,Itinerary!$M$6:$M$85,0))</f>
        <v/>
      </c>
    </row>
    <row r="8" customFormat="false" ht="15" hidden="false" customHeight="false" outlineLevel="0" collapsed="false">
      <c r="B8" s="148" t="str">
        <f aca="false">IF(K8="","",IF(AND(K7&lt;&gt;"",INDEX(Itinerary!$J$6:$J$85,K7)=INDEX(Itinerary!$J$6:$J$85,$K8)),"",IF(INDEX(Itinerary!$J$6:$J$85,$K8)=0,"Pre-trip","Day "&amp;INDEX(Itinerary!$J$6:$J$85,$K8)&amp;" · "&amp;TEXT(INDEX(Itinerary!$K$6:$K$85,$K8),"ddd dd mmm"))))</f>
        <v/>
      </c>
      <c r="C8" s="149" t="str">
        <f aca="false">IF(K8="","",IF(INDEX(Itinerary!$B$6:$B$85,$K8)="","",INDEX(Itinerary!$B$6:$B$85,$K8)))</f>
        <v/>
      </c>
      <c r="D8" s="150" t="str">
        <f aca="false">IF(K8="","",INDEX(Itinerary!$C$6:$C$85,$K8)&amp;"")</f>
        <v/>
      </c>
      <c r="E8" s="151" t="str">
        <f aca="false">IF(K8="","",INDEX(Itinerary!$D$6:$D$85,$K8)&amp;"")</f>
        <v/>
      </c>
      <c r="F8" s="150" t="str">
        <f aca="false">IF(K8="","",INDEX(Itinerary!$E$6:$E$85,$K8)&amp;"")</f>
        <v/>
      </c>
      <c r="G8" s="150" t="str">
        <f aca="false">IF(K8="","",INDEX(Itinerary!$F$6:$F$85,$K8)&amp;"")</f>
        <v/>
      </c>
      <c r="H8" s="150" t="str">
        <f aca="false">IF(K8="","",TRIM(INDEX(Itinerary!$G$6:$G$85,$K8)&amp;" "&amp;INDEX(Itinerary!$L$6:$L$85,$K8)))</f>
        <v/>
      </c>
      <c r="J8" s="60" t="str">
        <f aca="false">IFERROR(SMALL(Itinerary!$M$6:$M$85,4),"")</f>
        <v/>
      </c>
      <c r="K8" s="60" t="str">
        <f aca="false">IF(J8="","",MATCH(J8,Itinerary!$M$6:$M$85,0))</f>
        <v/>
      </c>
    </row>
    <row r="9" customFormat="false" ht="15" hidden="false" customHeight="false" outlineLevel="0" collapsed="false">
      <c r="B9" s="148" t="str">
        <f aca="false">IF(K9="","",IF(AND(K8&lt;&gt;"",INDEX(Itinerary!$J$6:$J$85,K8)=INDEX(Itinerary!$J$6:$J$85,$K9)),"",IF(INDEX(Itinerary!$J$6:$J$85,$K9)=0,"Pre-trip","Day "&amp;INDEX(Itinerary!$J$6:$J$85,$K9)&amp;" · "&amp;TEXT(INDEX(Itinerary!$K$6:$K$85,$K9),"ddd dd mmm"))))</f>
        <v/>
      </c>
      <c r="C9" s="149" t="str">
        <f aca="false">IF(K9="","",IF(INDEX(Itinerary!$B$6:$B$85,$K9)="","",INDEX(Itinerary!$B$6:$B$85,$K9)))</f>
        <v/>
      </c>
      <c r="D9" s="150" t="str">
        <f aca="false">IF(K9="","",INDEX(Itinerary!$C$6:$C$85,$K9)&amp;"")</f>
        <v/>
      </c>
      <c r="E9" s="151" t="str">
        <f aca="false">IF(K9="","",INDEX(Itinerary!$D$6:$D$85,$K9)&amp;"")</f>
        <v/>
      </c>
      <c r="F9" s="150" t="str">
        <f aca="false">IF(K9="","",INDEX(Itinerary!$E$6:$E$85,$K9)&amp;"")</f>
        <v/>
      </c>
      <c r="G9" s="150" t="str">
        <f aca="false">IF(K9="","",INDEX(Itinerary!$F$6:$F$85,$K9)&amp;"")</f>
        <v/>
      </c>
      <c r="H9" s="150" t="str">
        <f aca="false">IF(K9="","",TRIM(INDEX(Itinerary!$G$6:$G$85,$K9)&amp;" "&amp;INDEX(Itinerary!$L$6:$L$85,$K9)))</f>
        <v/>
      </c>
      <c r="J9" s="60" t="str">
        <f aca="false">IFERROR(SMALL(Itinerary!$M$6:$M$85,5),"")</f>
        <v/>
      </c>
      <c r="K9" s="60" t="str">
        <f aca="false">IF(J9="","",MATCH(J9,Itinerary!$M$6:$M$85,0))</f>
        <v/>
      </c>
    </row>
    <row r="10" customFormat="false" ht="15" hidden="false" customHeight="false" outlineLevel="0" collapsed="false">
      <c r="B10" s="148" t="str">
        <f aca="false">IF(K10="","",IF(AND(K9&lt;&gt;"",INDEX(Itinerary!$J$6:$J$85,K9)=INDEX(Itinerary!$J$6:$J$85,$K10)),"",IF(INDEX(Itinerary!$J$6:$J$85,$K10)=0,"Pre-trip","Day "&amp;INDEX(Itinerary!$J$6:$J$85,$K10)&amp;" · "&amp;TEXT(INDEX(Itinerary!$K$6:$K$85,$K10),"ddd dd mmm"))))</f>
        <v/>
      </c>
      <c r="C10" s="149" t="str">
        <f aca="false">IF(K10="","",IF(INDEX(Itinerary!$B$6:$B$85,$K10)="","",INDEX(Itinerary!$B$6:$B$85,$K10)))</f>
        <v/>
      </c>
      <c r="D10" s="150" t="str">
        <f aca="false">IF(K10="","",INDEX(Itinerary!$C$6:$C$85,$K10)&amp;"")</f>
        <v/>
      </c>
      <c r="E10" s="151" t="str">
        <f aca="false">IF(K10="","",INDEX(Itinerary!$D$6:$D$85,$K10)&amp;"")</f>
        <v/>
      </c>
      <c r="F10" s="150" t="str">
        <f aca="false">IF(K10="","",INDEX(Itinerary!$E$6:$E$85,$K10)&amp;"")</f>
        <v/>
      </c>
      <c r="G10" s="150" t="str">
        <f aca="false">IF(K10="","",INDEX(Itinerary!$F$6:$F$85,$K10)&amp;"")</f>
        <v/>
      </c>
      <c r="H10" s="150" t="str">
        <f aca="false">IF(K10="","",TRIM(INDEX(Itinerary!$G$6:$G$85,$K10)&amp;" "&amp;INDEX(Itinerary!$L$6:$L$85,$K10)))</f>
        <v/>
      </c>
      <c r="J10" s="60" t="str">
        <f aca="false">IFERROR(SMALL(Itinerary!$M$6:$M$85,6),"")</f>
        <v/>
      </c>
      <c r="K10" s="60" t="str">
        <f aca="false">IF(J10="","",MATCH(J10,Itinerary!$M$6:$M$85,0))</f>
        <v/>
      </c>
    </row>
    <row r="11" customFormat="false" ht="15" hidden="false" customHeight="false" outlineLevel="0" collapsed="false">
      <c r="B11" s="148" t="str">
        <f aca="false">IF(K11="","",IF(AND(K10&lt;&gt;"",INDEX(Itinerary!$J$6:$J$85,K10)=INDEX(Itinerary!$J$6:$J$85,$K11)),"",IF(INDEX(Itinerary!$J$6:$J$85,$K11)=0,"Pre-trip","Day "&amp;INDEX(Itinerary!$J$6:$J$85,$K11)&amp;" · "&amp;TEXT(INDEX(Itinerary!$K$6:$K$85,$K11),"ddd dd mmm"))))</f>
        <v/>
      </c>
      <c r="C11" s="149" t="str">
        <f aca="false">IF(K11="","",IF(INDEX(Itinerary!$B$6:$B$85,$K11)="","",INDEX(Itinerary!$B$6:$B$85,$K11)))</f>
        <v/>
      </c>
      <c r="D11" s="150" t="str">
        <f aca="false">IF(K11="","",INDEX(Itinerary!$C$6:$C$85,$K11)&amp;"")</f>
        <v/>
      </c>
      <c r="E11" s="151" t="str">
        <f aca="false">IF(K11="","",INDEX(Itinerary!$D$6:$D$85,$K11)&amp;"")</f>
        <v/>
      </c>
      <c r="F11" s="150" t="str">
        <f aca="false">IF(K11="","",INDEX(Itinerary!$E$6:$E$85,$K11)&amp;"")</f>
        <v/>
      </c>
      <c r="G11" s="150" t="str">
        <f aca="false">IF(K11="","",INDEX(Itinerary!$F$6:$F$85,$K11)&amp;"")</f>
        <v/>
      </c>
      <c r="H11" s="150" t="str">
        <f aca="false">IF(K11="","",TRIM(INDEX(Itinerary!$G$6:$G$85,$K11)&amp;" "&amp;INDEX(Itinerary!$L$6:$L$85,$K11)))</f>
        <v/>
      </c>
      <c r="J11" s="60" t="str">
        <f aca="false">IFERROR(SMALL(Itinerary!$M$6:$M$85,7),"")</f>
        <v/>
      </c>
      <c r="K11" s="60" t="str">
        <f aca="false">IF(J11="","",MATCH(J11,Itinerary!$M$6:$M$85,0))</f>
        <v/>
      </c>
    </row>
    <row r="12" customFormat="false" ht="15" hidden="false" customHeight="false" outlineLevel="0" collapsed="false">
      <c r="B12" s="148" t="str">
        <f aca="false">IF(K12="","",IF(AND(K11&lt;&gt;"",INDEX(Itinerary!$J$6:$J$85,K11)=INDEX(Itinerary!$J$6:$J$85,$K12)),"",IF(INDEX(Itinerary!$J$6:$J$85,$K12)=0,"Pre-trip","Day "&amp;INDEX(Itinerary!$J$6:$J$85,$K12)&amp;" · "&amp;TEXT(INDEX(Itinerary!$K$6:$K$85,$K12),"ddd dd mmm"))))</f>
        <v/>
      </c>
      <c r="C12" s="149" t="str">
        <f aca="false">IF(K12="","",IF(INDEX(Itinerary!$B$6:$B$85,$K12)="","",INDEX(Itinerary!$B$6:$B$85,$K12)))</f>
        <v/>
      </c>
      <c r="D12" s="150" t="str">
        <f aca="false">IF(K12="","",INDEX(Itinerary!$C$6:$C$85,$K12)&amp;"")</f>
        <v/>
      </c>
      <c r="E12" s="151" t="str">
        <f aca="false">IF(K12="","",INDEX(Itinerary!$D$6:$D$85,$K12)&amp;"")</f>
        <v/>
      </c>
      <c r="F12" s="150" t="str">
        <f aca="false">IF(K12="","",INDEX(Itinerary!$E$6:$E$85,$K12)&amp;"")</f>
        <v/>
      </c>
      <c r="G12" s="150" t="str">
        <f aca="false">IF(K12="","",INDEX(Itinerary!$F$6:$F$85,$K12)&amp;"")</f>
        <v/>
      </c>
      <c r="H12" s="150" t="str">
        <f aca="false">IF(K12="","",TRIM(INDEX(Itinerary!$G$6:$G$85,$K12)&amp;" "&amp;INDEX(Itinerary!$L$6:$L$85,$K12)))</f>
        <v/>
      </c>
      <c r="J12" s="60" t="str">
        <f aca="false">IFERROR(SMALL(Itinerary!$M$6:$M$85,8),"")</f>
        <v/>
      </c>
      <c r="K12" s="60" t="str">
        <f aca="false">IF(J12="","",MATCH(J12,Itinerary!$M$6:$M$85,0))</f>
        <v/>
      </c>
    </row>
    <row r="13" customFormat="false" ht="15" hidden="false" customHeight="false" outlineLevel="0" collapsed="false">
      <c r="B13" s="148" t="str">
        <f aca="false">IF(K13="","",IF(AND(K12&lt;&gt;"",INDEX(Itinerary!$J$6:$J$85,K12)=INDEX(Itinerary!$J$6:$J$85,$K13)),"",IF(INDEX(Itinerary!$J$6:$J$85,$K13)=0,"Pre-trip","Day "&amp;INDEX(Itinerary!$J$6:$J$85,$K13)&amp;" · "&amp;TEXT(INDEX(Itinerary!$K$6:$K$85,$K13),"ddd dd mmm"))))</f>
        <v/>
      </c>
      <c r="C13" s="149" t="str">
        <f aca="false">IF(K13="","",IF(INDEX(Itinerary!$B$6:$B$85,$K13)="","",INDEX(Itinerary!$B$6:$B$85,$K13)))</f>
        <v/>
      </c>
      <c r="D13" s="150" t="str">
        <f aca="false">IF(K13="","",INDEX(Itinerary!$C$6:$C$85,$K13)&amp;"")</f>
        <v/>
      </c>
      <c r="E13" s="151" t="str">
        <f aca="false">IF(K13="","",INDEX(Itinerary!$D$6:$D$85,$K13)&amp;"")</f>
        <v/>
      </c>
      <c r="F13" s="150" t="str">
        <f aca="false">IF(K13="","",INDEX(Itinerary!$E$6:$E$85,$K13)&amp;"")</f>
        <v/>
      </c>
      <c r="G13" s="150" t="str">
        <f aca="false">IF(K13="","",INDEX(Itinerary!$F$6:$F$85,$K13)&amp;"")</f>
        <v/>
      </c>
      <c r="H13" s="150" t="str">
        <f aca="false">IF(K13="","",TRIM(INDEX(Itinerary!$G$6:$G$85,$K13)&amp;" "&amp;INDEX(Itinerary!$L$6:$L$85,$K13)))</f>
        <v/>
      </c>
      <c r="J13" s="60" t="str">
        <f aca="false">IFERROR(SMALL(Itinerary!$M$6:$M$85,9),"")</f>
        <v/>
      </c>
      <c r="K13" s="60" t="str">
        <f aca="false">IF(J13="","",MATCH(J13,Itinerary!$M$6:$M$85,0))</f>
        <v/>
      </c>
    </row>
    <row r="14" customFormat="false" ht="15" hidden="false" customHeight="false" outlineLevel="0" collapsed="false">
      <c r="B14" s="148" t="str">
        <f aca="false">IF(K14="","",IF(AND(K13&lt;&gt;"",INDEX(Itinerary!$J$6:$J$85,K13)=INDEX(Itinerary!$J$6:$J$85,$K14)),"",IF(INDEX(Itinerary!$J$6:$J$85,$K14)=0,"Pre-trip","Day "&amp;INDEX(Itinerary!$J$6:$J$85,$K14)&amp;" · "&amp;TEXT(INDEX(Itinerary!$K$6:$K$85,$K14),"ddd dd mmm"))))</f>
        <v/>
      </c>
      <c r="C14" s="149" t="str">
        <f aca="false">IF(K14="","",IF(INDEX(Itinerary!$B$6:$B$85,$K14)="","",INDEX(Itinerary!$B$6:$B$85,$K14)))</f>
        <v/>
      </c>
      <c r="D14" s="150" t="str">
        <f aca="false">IF(K14="","",INDEX(Itinerary!$C$6:$C$85,$K14)&amp;"")</f>
        <v/>
      </c>
      <c r="E14" s="151" t="str">
        <f aca="false">IF(K14="","",INDEX(Itinerary!$D$6:$D$85,$K14)&amp;"")</f>
        <v/>
      </c>
      <c r="F14" s="150" t="str">
        <f aca="false">IF(K14="","",INDEX(Itinerary!$E$6:$E$85,$K14)&amp;"")</f>
        <v/>
      </c>
      <c r="G14" s="150" t="str">
        <f aca="false">IF(K14="","",INDEX(Itinerary!$F$6:$F$85,$K14)&amp;"")</f>
        <v/>
      </c>
      <c r="H14" s="150" t="str">
        <f aca="false">IF(K14="","",TRIM(INDEX(Itinerary!$G$6:$G$85,$K14)&amp;" "&amp;INDEX(Itinerary!$L$6:$L$85,$K14)))</f>
        <v/>
      </c>
      <c r="J14" s="60" t="str">
        <f aca="false">IFERROR(SMALL(Itinerary!$M$6:$M$85,10),"")</f>
        <v/>
      </c>
      <c r="K14" s="60" t="str">
        <f aca="false">IF(J14="","",MATCH(J14,Itinerary!$M$6:$M$85,0))</f>
        <v/>
      </c>
    </row>
    <row r="15" customFormat="false" ht="15" hidden="false" customHeight="false" outlineLevel="0" collapsed="false">
      <c r="B15" s="148" t="str">
        <f aca="false">IF(K15="","",IF(AND(K14&lt;&gt;"",INDEX(Itinerary!$J$6:$J$85,K14)=INDEX(Itinerary!$J$6:$J$85,$K15)),"",IF(INDEX(Itinerary!$J$6:$J$85,$K15)=0,"Pre-trip","Day "&amp;INDEX(Itinerary!$J$6:$J$85,$K15)&amp;" · "&amp;TEXT(INDEX(Itinerary!$K$6:$K$85,$K15),"ddd dd mmm"))))</f>
        <v/>
      </c>
      <c r="C15" s="149" t="str">
        <f aca="false">IF(K15="","",IF(INDEX(Itinerary!$B$6:$B$85,$K15)="","",INDEX(Itinerary!$B$6:$B$85,$K15)))</f>
        <v/>
      </c>
      <c r="D15" s="150" t="str">
        <f aca="false">IF(K15="","",INDEX(Itinerary!$C$6:$C$85,$K15)&amp;"")</f>
        <v/>
      </c>
      <c r="E15" s="151" t="str">
        <f aca="false">IF(K15="","",INDEX(Itinerary!$D$6:$D$85,$K15)&amp;"")</f>
        <v/>
      </c>
      <c r="F15" s="150" t="str">
        <f aca="false">IF(K15="","",INDEX(Itinerary!$E$6:$E$85,$K15)&amp;"")</f>
        <v/>
      </c>
      <c r="G15" s="150" t="str">
        <f aca="false">IF(K15="","",INDEX(Itinerary!$F$6:$F$85,$K15)&amp;"")</f>
        <v/>
      </c>
      <c r="H15" s="150" t="str">
        <f aca="false">IF(K15="","",TRIM(INDEX(Itinerary!$G$6:$G$85,$K15)&amp;" "&amp;INDEX(Itinerary!$L$6:$L$85,$K15)))</f>
        <v/>
      </c>
      <c r="J15" s="60" t="str">
        <f aca="false">IFERROR(SMALL(Itinerary!$M$6:$M$85,11),"")</f>
        <v/>
      </c>
      <c r="K15" s="60" t="str">
        <f aca="false">IF(J15="","",MATCH(J15,Itinerary!$M$6:$M$85,0))</f>
        <v/>
      </c>
    </row>
    <row r="16" customFormat="false" ht="15" hidden="false" customHeight="false" outlineLevel="0" collapsed="false">
      <c r="B16" s="148" t="str">
        <f aca="false">IF(K16="","",IF(AND(K15&lt;&gt;"",INDEX(Itinerary!$J$6:$J$85,K15)=INDEX(Itinerary!$J$6:$J$85,$K16)),"",IF(INDEX(Itinerary!$J$6:$J$85,$K16)=0,"Pre-trip","Day "&amp;INDEX(Itinerary!$J$6:$J$85,$K16)&amp;" · "&amp;TEXT(INDEX(Itinerary!$K$6:$K$85,$K16),"ddd dd mmm"))))</f>
        <v/>
      </c>
      <c r="C16" s="149" t="str">
        <f aca="false">IF(K16="","",IF(INDEX(Itinerary!$B$6:$B$85,$K16)="","",INDEX(Itinerary!$B$6:$B$85,$K16)))</f>
        <v/>
      </c>
      <c r="D16" s="150" t="str">
        <f aca="false">IF(K16="","",INDEX(Itinerary!$C$6:$C$85,$K16)&amp;"")</f>
        <v/>
      </c>
      <c r="E16" s="151" t="str">
        <f aca="false">IF(K16="","",INDEX(Itinerary!$D$6:$D$85,$K16)&amp;"")</f>
        <v/>
      </c>
      <c r="F16" s="150" t="str">
        <f aca="false">IF(K16="","",INDEX(Itinerary!$E$6:$E$85,$K16)&amp;"")</f>
        <v/>
      </c>
      <c r="G16" s="150" t="str">
        <f aca="false">IF(K16="","",INDEX(Itinerary!$F$6:$F$85,$K16)&amp;"")</f>
        <v/>
      </c>
      <c r="H16" s="150" t="str">
        <f aca="false">IF(K16="","",TRIM(INDEX(Itinerary!$G$6:$G$85,$K16)&amp;" "&amp;INDEX(Itinerary!$L$6:$L$85,$K16)))</f>
        <v/>
      </c>
      <c r="J16" s="60" t="str">
        <f aca="false">IFERROR(SMALL(Itinerary!$M$6:$M$85,12),"")</f>
        <v/>
      </c>
      <c r="K16" s="60" t="str">
        <f aca="false">IF(J16="","",MATCH(J16,Itinerary!$M$6:$M$85,0))</f>
        <v/>
      </c>
    </row>
    <row r="17" customFormat="false" ht="15" hidden="false" customHeight="false" outlineLevel="0" collapsed="false">
      <c r="B17" s="148" t="str">
        <f aca="false">IF(K17="","",IF(AND(K16&lt;&gt;"",INDEX(Itinerary!$J$6:$J$85,K16)=INDEX(Itinerary!$J$6:$J$85,$K17)),"",IF(INDEX(Itinerary!$J$6:$J$85,$K17)=0,"Pre-trip","Day "&amp;INDEX(Itinerary!$J$6:$J$85,$K17)&amp;" · "&amp;TEXT(INDEX(Itinerary!$K$6:$K$85,$K17),"ddd dd mmm"))))</f>
        <v/>
      </c>
      <c r="C17" s="149" t="str">
        <f aca="false">IF(K17="","",IF(INDEX(Itinerary!$B$6:$B$85,$K17)="","",INDEX(Itinerary!$B$6:$B$85,$K17)))</f>
        <v/>
      </c>
      <c r="D17" s="150" t="str">
        <f aca="false">IF(K17="","",INDEX(Itinerary!$C$6:$C$85,$K17)&amp;"")</f>
        <v/>
      </c>
      <c r="E17" s="151" t="str">
        <f aca="false">IF(K17="","",INDEX(Itinerary!$D$6:$D$85,$K17)&amp;"")</f>
        <v/>
      </c>
      <c r="F17" s="150" t="str">
        <f aca="false">IF(K17="","",INDEX(Itinerary!$E$6:$E$85,$K17)&amp;"")</f>
        <v/>
      </c>
      <c r="G17" s="150" t="str">
        <f aca="false">IF(K17="","",INDEX(Itinerary!$F$6:$F$85,$K17)&amp;"")</f>
        <v/>
      </c>
      <c r="H17" s="150" t="str">
        <f aca="false">IF(K17="","",TRIM(INDEX(Itinerary!$G$6:$G$85,$K17)&amp;" "&amp;INDEX(Itinerary!$L$6:$L$85,$K17)))</f>
        <v/>
      </c>
      <c r="J17" s="60" t="str">
        <f aca="false">IFERROR(SMALL(Itinerary!$M$6:$M$85,13),"")</f>
        <v/>
      </c>
      <c r="K17" s="60" t="str">
        <f aca="false">IF(J17="","",MATCH(J17,Itinerary!$M$6:$M$85,0))</f>
        <v/>
      </c>
    </row>
    <row r="18" customFormat="false" ht="15" hidden="false" customHeight="false" outlineLevel="0" collapsed="false">
      <c r="B18" s="148" t="str">
        <f aca="false">IF(K18="","",IF(AND(K17&lt;&gt;"",INDEX(Itinerary!$J$6:$J$85,K17)=INDEX(Itinerary!$J$6:$J$85,$K18)),"",IF(INDEX(Itinerary!$J$6:$J$85,$K18)=0,"Pre-trip","Day "&amp;INDEX(Itinerary!$J$6:$J$85,$K18)&amp;" · "&amp;TEXT(INDEX(Itinerary!$K$6:$K$85,$K18),"ddd dd mmm"))))</f>
        <v/>
      </c>
      <c r="C18" s="149" t="str">
        <f aca="false">IF(K18="","",IF(INDEX(Itinerary!$B$6:$B$85,$K18)="","",INDEX(Itinerary!$B$6:$B$85,$K18)))</f>
        <v/>
      </c>
      <c r="D18" s="150" t="str">
        <f aca="false">IF(K18="","",INDEX(Itinerary!$C$6:$C$85,$K18)&amp;"")</f>
        <v/>
      </c>
      <c r="E18" s="151" t="str">
        <f aca="false">IF(K18="","",INDEX(Itinerary!$D$6:$D$85,$K18)&amp;"")</f>
        <v/>
      </c>
      <c r="F18" s="150" t="str">
        <f aca="false">IF(K18="","",INDEX(Itinerary!$E$6:$E$85,$K18)&amp;"")</f>
        <v/>
      </c>
      <c r="G18" s="150" t="str">
        <f aca="false">IF(K18="","",INDEX(Itinerary!$F$6:$F$85,$K18)&amp;"")</f>
        <v/>
      </c>
      <c r="H18" s="150" t="str">
        <f aca="false">IF(K18="","",TRIM(INDEX(Itinerary!$G$6:$G$85,$K18)&amp;" "&amp;INDEX(Itinerary!$L$6:$L$85,$K18)))</f>
        <v/>
      </c>
      <c r="J18" s="60" t="str">
        <f aca="false">IFERROR(SMALL(Itinerary!$M$6:$M$85,14),"")</f>
        <v/>
      </c>
      <c r="K18" s="60" t="str">
        <f aca="false">IF(J18="","",MATCH(J18,Itinerary!$M$6:$M$85,0))</f>
        <v/>
      </c>
    </row>
    <row r="19" customFormat="false" ht="15" hidden="false" customHeight="false" outlineLevel="0" collapsed="false">
      <c r="B19" s="148" t="str">
        <f aca="false">IF(K19="","",IF(AND(K18&lt;&gt;"",INDEX(Itinerary!$J$6:$J$85,K18)=INDEX(Itinerary!$J$6:$J$85,$K19)),"",IF(INDEX(Itinerary!$J$6:$J$85,$K19)=0,"Pre-trip","Day "&amp;INDEX(Itinerary!$J$6:$J$85,$K19)&amp;" · "&amp;TEXT(INDEX(Itinerary!$K$6:$K$85,$K19),"ddd dd mmm"))))</f>
        <v/>
      </c>
      <c r="C19" s="149" t="str">
        <f aca="false">IF(K19="","",IF(INDEX(Itinerary!$B$6:$B$85,$K19)="","",INDEX(Itinerary!$B$6:$B$85,$K19)))</f>
        <v/>
      </c>
      <c r="D19" s="150" t="str">
        <f aca="false">IF(K19="","",INDEX(Itinerary!$C$6:$C$85,$K19)&amp;"")</f>
        <v/>
      </c>
      <c r="E19" s="151" t="str">
        <f aca="false">IF(K19="","",INDEX(Itinerary!$D$6:$D$85,$K19)&amp;"")</f>
        <v/>
      </c>
      <c r="F19" s="150" t="str">
        <f aca="false">IF(K19="","",INDEX(Itinerary!$E$6:$E$85,$K19)&amp;"")</f>
        <v/>
      </c>
      <c r="G19" s="150" t="str">
        <f aca="false">IF(K19="","",INDEX(Itinerary!$F$6:$F$85,$K19)&amp;"")</f>
        <v/>
      </c>
      <c r="H19" s="150" t="str">
        <f aca="false">IF(K19="","",TRIM(INDEX(Itinerary!$G$6:$G$85,$K19)&amp;" "&amp;INDEX(Itinerary!$L$6:$L$85,$K19)))</f>
        <v/>
      </c>
      <c r="J19" s="60" t="str">
        <f aca="false">IFERROR(SMALL(Itinerary!$M$6:$M$85,15),"")</f>
        <v/>
      </c>
      <c r="K19" s="60" t="str">
        <f aca="false">IF(J19="","",MATCH(J19,Itinerary!$M$6:$M$85,0))</f>
        <v/>
      </c>
    </row>
    <row r="20" customFormat="false" ht="15" hidden="false" customHeight="false" outlineLevel="0" collapsed="false">
      <c r="B20" s="148" t="str">
        <f aca="false">IF(K20="","",IF(AND(K19&lt;&gt;"",INDEX(Itinerary!$J$6:$J$85,K19)=INDEX(Itinerary!$J$6:$J$85,$K20)),"",IF(INDEX(Itinerary!$J$6:$J$85,$K20)=0,"Pre-trip","Day "&amp;INDEX(Itinerary!$J$6:$J$85,$K20)&amp;" · "&amp;TEXT(INDEX(Itinerary!$K$6:$K$85,$K20),"ddd dd mmm"))))</f>
        <v/>
      </c>
      <c r="C20" s="149" t="str">
        <f aca="false">IF(K20="","",IF(INDEX(Itinerary!$B$6:$B$85,$K20)="","",INDEX(Itinerary!$B$6:$B$85,$K20)))</f>
        <v/>
      </c>
      <c r="D20" s="150" t="str">
        <f aca="false">IF(K20="","",INDEX(Itinerary!$C$6:$C$85,$K20)&amp;"")</f>
        <v/>
      </c>
      <c r="E20" s="151" t="str">
        <f aca="false">IF(K20="","",INDEX(Itinerary!$D$6:$D$85,$K20)&amp;"")</f>
        <v/>
      </c>
      <c r="F20" s="150" t="str">
        <f aca="false">IF(K20="","",INDEX(Itinerary!$E$6:$E$85,$K20)&amp;"")</f>
        <v/>
      </c>
      <c r="G20" s="150" t="str">
        <f aca="false">IF(K20="","",INDEX(Itinerary!$F$6:$F$85,$K20)&amp;"")</f>
        <v/>
      </c>
      <c r="H20" s="150" t="str">
        <f aca="false">IF(K20="","",TRIM(INDEX(Itinerary!$G$6:$G$85,$K20)&amp;" "&amp;INDEX(Itinerary!$L$6:$L$85,$K20)))</f>
        <v/>
      </c>
      <c r="J20" s="60" t="str">
        <f aca="false">IFERROR(SMALL(Itinerary!$M$6:$M$85,16),"")</f>
        <v/>
      </c>
      <c r="K20" s="60" t="str">
        <f aca="false">IF(J20="","",MATCH(J20,Itinerary!$M$6:$M$85,0))</f>
        <v/>
      </c>
    </row>
    <row r="21" customFormat="false" ht="15" hidden="false" customHeight="false" outlineLevel="0" collapsed="false">
      <c r="B21" s="148" t="str">
        <f aca="false">IF(K21="","",IF(AND(K20&lt;&gt;"",INDEX(Itinerary!$J$6:$J$85,K20)=INDEX(Itinerary!$J$6:$J$85,$K21)),"",IF(INDEX(Itinerary!$J$6:$J$85,$K21)=0,"Pre-trip","Day "&amp;INDEX(Itinerary!$J$6:$J$85,$K21)&amp;" · "&amp;TEXT(INDEX(Itinerary!$K$6:$K$85,$K21),"ddd dd mmm"))))</f>
        <v/>
      </c>
      <c r="C21" s="149" t="str">
        <f aca="false">IF(K21="","",IF(INDEX(Itinerary!$B$6:$B$85,$K21)="","",INDEX(Itinerary!$B$6:$B$85,$K21)))</f>
        <v/>
      </c>
      <c r="D21" s="150" t="str">
        <f aca="false">IF(K21="","",INDEX(Itinerary!$C$6:$C$85,$K21)&amp;"")</f>
        <v/>
      </c>
      <c r="E21" s="151" t="str">
        <f aca="false">IF(K21="","",INDEX(Itinerary!$D$6:$D$85,$K21)&amp;"")</f>
        <v/>
      </c>
      <c r="F21" s="150" t="str">
        <f aca="false">IF(K21="","",INDEX(Itinerary!$E$6:$E$85,$K21)&amp;"")</f>
        <v/>
      </c>
      <c r="G21" s="150" t="str">
        <f aca="false">IF(K21="","",INDEX(Itinerary!$F$6:$F$85,$K21)&amp;"")</f>
        <v/>
      </c>
      <c r="H21" s="150" t="str">
        <f aca="false">IF(K21="","",TRIM(INDEX(Itinerary!$G$6:$G$85,$K21)&amp;" "&amp;INDEX(Itinerary!$L$6:$L$85,$K21)))</f>
        <v/>
      </c>
      <c r="J21" s="60" t="str">
        <f aca="false">IFERROR(SMALL(Itinerary!$M$6:$M$85,17),"")</f>
        <v/>
      </c>
      <c r="K21" s="60" t="str">
        <f aca="false">IF(J21="","",MATCH(J21,Itinerary!$M$6:$M$85,0))</f>
        <v/>
      </c>
    </row>
    <row r="22" customFormat="false" ht="15" hidden="false" customHeight="false" outlineLevel="0" collapsed="false">
      <c r="B22" s="148" t="str">
        <f aca="false">IF(K22="","",IF(AND(K21&lt;&gt;"",INDEX(Itinerary!$J$6:$J$85,K21)=INDEX(Itinerary!$J$6:$J$85,$K22)),"",IF(INDEX(Itinerary!$J$6:$J$85,$K22)=0,"Pre-trip","Day "&amp;INDEX(Itinerary!$J$6:$J$85,$K22)&amp;" · "&amp;TEXT(INDEX(Itinerary!$K$6:$K$85,$K22),"ddd dd mmm"))))</f>
        <v/>
      </c>
      <c r="C22" s="149" t="str">
        <f aca="false">IF(K22="","",IF(INDEX(Itinerary!$B$6:$B$85,$K22)="","",INDEX(Itinerary!$B$6:$B$85,$K22)))</f>
        <v/>
      </c>
      <c r="D22" s="150" t="str">
        <f aca="false">IF(K22="","",INDEX(Itinerary!$C$6:$C$85,$K22)&amp;"")</f>
        <v/>
      </c>
      <c r="E22" s="151" t="str">
        <f aca="false">IF(K22="","",INDEX(Itinerary!$D$6:$D$85,$K22)&amp;"")</f>
        <v/>
      </c>
      <c r="F22" s="150" t="str">
        <f aca="false">IF(K22="","",INDEX(Itinerary!$E$6:$E$85,$K22)&amp;"")</f>
        <v/>
      </c>
      <c r="G22" s="150" t="str">
        <f aca="false">IF(K22="","",INDEX(Itinerary!$F$6:$F$85,$K22)&amp;"")</f>
        <v/>
      </c>
      <c r="H22" s="150" t="str">
        <f aca="false">IF(K22="","",TRIM(INDEX(Itinerary!$G$6:$G$85,$K22)&amp;" "&amp;INDEX(Itinerary!$L$6:$L$85,$K22)))</f>
        <v/>
      </c>
      <c r="J22" s="60" t="str">
        <f aca="false">IFERROR(SMALL(Itinerary!$M$6:$M$85,18),"")</f>
        <v/>
      </c>
      <c r="K22" s="60" t="str">
        <f aca="false">IF(J22="","",MATCH(J22,Itinerary!$M$6:$M$85,0))</f>
        <v/>
      </c>
    </row>
    <row r="23" customFormat="false" ht="15" hidden="false" customHeight="false" outlineLevel="0" collapsed="false">
      <c r="B23" s="148" t="str">
        <f aca="false">IF(K23="","",IF(AND(K22&lt;&gt;"",INDEX(Itinerary!$J$6:$J$85,K22)=INDEX(Itinerary!$J$6:$J$85,$K23)),"",IF(INDEX(Itinerary!$J$6:$J$85,$K23)=0,"Pre-trip","Day "&amp;INDEX(Itinerary!$J$6:$J$85,$K23)&amp;" · "&amp;TEXT(INDEX(Itinerary!$K$6:$K$85,$K23),"ddd dd mmm"))))</f>
        <v/>
      </c>
      <c r="C23" s="149" t="str">
        <f aca="false">IF(K23="","",IF(INDEX(Itinerary!$B$6:$B$85,$K23)="","",INDEX(Itinerary!$B$6:$B$85,$K23)))</f>
        <v/>
      </c>
      <c r="D23" s="150" t="str">
        <f aca="false">IF(K23="","",INDEX(Itinerary!$C$6:$C$85,$K23)&amp;"")</f>
        <v/>
      </c>
      <c r="E23" s="151" t="str">
        <f aca="false">IF(K23="","",INDEX(Itinerary!$D$6:$D$85,$K23)&amp;"")</f>
        <v/>
      </c>
      <c r="F23" s="150" t="str">
        <f aca="false">IF(K23="","",INDEX(Itinerary!$E$6:$E$85,$K23)&amp;"")</f>
        <v/>
      </c>
      <c r="G23" s="150" t="str">
        <f aca="false">IF(K23="","",INDEX(Itinerary!$F$6:$F$85,$K23)&amp;"")</f>
        <v/>
      </c>
      <c r="H23" s="150" t="str">
        <f aca="false">IF(K23="","",TRIM(INDEX(Itinerary!$G$6:$G$85,$K23)&amp;" "&amp;INDEX(Itinerary!$L$6:$L$85,$K23)))</f>
        <v/>
      </c>
      <c r="J23" s="60" t="str">
        <f aca="false">IFERROR(SMALL(Itinerary!$M$6:$M$85,19),"")</f>
        <v/>
      </c>
      <c r="K23" s="60" t="str">
        <f aca="false">IF(J23="","",MATCH(J23,Itinerary!$M$6:$M$85,0))</f>
        <v/>
      </c>
    </row>
    <row r="24" customFormat="false" ht="15" hidden="false" customHeight="false" outlineLevel="0" collapsed="false">
      <c r="B24" s="148" t="str">
        <f aca="false">IF(K24="","",IF(AND(K23&lt;&gt;"",INDEX(Itinerary!$J$6:$J$85,K23)=INDEX(Itinerary!$J$6:$J$85,$K24)),"",IF(INDEX(Itinerary!$J$6:$J$85,$K24)=0,"Pre-trip","Day "&amp;INDEX(Itinerary!$J$6:$J$85,$K24)&amp;" · "&amp;TEXT(INDEX(Itinerary!$K$6:$K$85,$K24),"ddd dd mmm"))))</f>
        <v/>
      </c>
      <c r="C24" s="149" t="str">
        <f aca="false">IF(K24="","",IF(INDEX(Itinerary!$B$6:$B$85,$K24)="","",INDEX(Itinerary!$B$6:$B$85,$K24)))</f>
        <v/>
      </c>
      <c r="D24" s="150" t="str">
        <f aca="false">IF(K24="","",INDEX(Itinerary!$C$6:$C$85,$K24)&amp;"")</f>
        <v/>
      </c>
      <c r="E24" s="151" t="str">
        <f aca="false">IF(K24="","",INDEX(Itinerary!$D$6:$D$85,$K24)&amp;"")</f>
        <v/>
      </c>
      <c r="F24" s="150" t="str">
        <f aca="false">IF(K24="","",INDEX(Itinerary!$E$6:$E$85,$K24)&amp;"")</f>
        <v/>
      </c>
      <c r="G24" s="150" t="str">
        <f aca="false">IF(K24="","",INDEX(Itinerary!$F$6:$F$85,$K24)&amp;"")</f>
        <v/>
      </c>
      <c r="H24" s="150" t="str">
        <f aca="false">IF(K24="","",TRIM(INDEX(Itinerary!$G$6:$G$85,$K24)&amp;" "&amp;INDEX(Itinerary!$L$6:$L$85,$K24)))</f>
        <v/>
      </c>
      <c r="J24" s="60" t="str">
        <f aca="false">IFERROR(SMALL(Itinerary!$M$6:$M$85,20),"")</f>
        <v/>
      </c>
      <c r="K24" s="60" t="str">
        <f aca="false">IF(J24="","",MATCH(J24,Itinerary!$M$6:$M$85,0))</f>
        <v/>
      </c>
    </row>
    <row r="25" customFormat="false" ht="15" hidden="false" customHeight="false" outlineLevel="0" collapsed="false">
      <c r="B25" s="148" t="str">
        <f aca="false">IF(K25="","",IF(AND(K24&lt;&gt;"",INDEX(Itinerary!$J$6:$J$85,K24)=INDEX(Itinerary!$J$6:$J$85,$K25)),"",IF(INDEX(Itinerary!$J$6:$J$85,$K25)=0,"Pre-trip","Day "&amp;INDEX(Itinerary!$J$6:$J$85,$K25)&amp;" · "&amp;TEXT(INDEX(Itinerary!$K$6:$K$85,$K25),"ddd dd mmm"))))</f>
        <v/>
      </c>
      <c r="C25" s="149" t="str">
        <f aca="false">IF(K25="","",IF(INDEX(Itinerary!$B$6:$B$85,$K25)="","",INDEX(Itinerary!$B$6:$B$85,$K25)))</f>
        <v/>
      </c>
      <c r="D25" s="150" t="str">
        <f aca="false">IF(K25="","",INDEX(Itinerary!$C$6:$C$85,$K25)&amp;"")</f>
        <v/>
      </c>
      <c r="E25" s="151" t="str">
        <f aca="false">IF(K25="","",INDEX(Itinerary!$D$6:$D$85,$K25)&amp;"")</f>
        <v/>
      </c>
      <c r="F25" s="150" t="str">
        <f aca="false">IF(K25="","",INDEX(Itinerary!$E$6:$E$85,$K25)&amp;"")</f>
        <v/>
      </c>
      <c r="G25" s="150" t="str">
        <f aca="false">IF(K25="","",INDEX(Itinerary!$F$6:$F$85,$K25)&amp;"")</f>
        <v/>
      </c>
      <c r="H25" s="150" t="str">
        <f aca="false">IF(K25="","",TRIM(INDEX(Itinerary!$G$6:$G$85,$K25)&amp;" "&amp;INDEX(Itinerary!$L$6:$L$85,$K25)))</f>
        <v/>
      </c>
      <c r="J25" s="60" t="str">
        <f aca="false">IFERROR(SMALL(Itinerary!$M$6:$M$85,21),"")</f>
        <v/>
      </c>
      <c r="K25" s="60" t="str">
        <f aca="false">IF(J25="","",MATCH(J25,Itinerary!$M$6:$M$85,0))</f>
        <v/>
      </c>
    </row>
    <row r="26" customFormat="false" ht="15" hidden="false" customHeight="false" outlineLevel="0" collapsed="false">
      <c r="B26" s="148" t="str">
        <f aca="false">IF(K26="","",IF(AND(K25&lt;&gt;"",INDEX(Itinerary!$J$6:$J$85,K25)=INDEX(Itinerary!$J$6:$J$85,$K26)),"",IF(INDEX(Itinerary!$J$6:$J$85,$K26)=0,"Pre-trip","Day "&amp;INDEX(Itinerary!$J$6:$J$85,$K26)&amp;" · "&amp;TEXT(INDEX(Itinerary!$K$6:$K$85,$K26),"ddd dd mmm"))))</f>
        <v/>
      </c>
      <c r="C26" s="149" t="str">
        <f aca="false">IF(K26="","",IF(INDEX(Itinerary!$B$6:$B$85,$K26)="","",INDEX(Itinerary!$B$6:$B$85,$K26)))</f>
        <v/>
      </c>
      <c r="D26" s="150" t="str">
        <f aca="false">IF(K26="","",INDEX(Itinerary!$C$6:$C$85,$K26)&amp;"")</f>
        <v/>
      </c>
      <c r="E26" s="151" t="str">
        <f aca="false">IF(K26="","",INDEX(Itinerary!$D$6:$D$85,$K26)&amp;"")</f>
        <v/>
      </c>
      <c r="F26" s="150" t="str">
        <f aca="false">IF(K26="","",INDEX(Itinerary!$E$6:$E$85,$K26)&amp;"")</f>
        <v/>
      </c>
      <c r="G26" s="150" t="str">
        <f aca="false">IF(K26="","",INDEX(Itinerary!$F$6:$F$85,$K26)&amp;"")</f>
        <v/>
      </c>
      <c r="H26" s="150" t="str">
        <f aca="false">IF(K26="","",TRIM(INDEX(Itinerary!$G$6:$G$85,$K26)&amp;" "&amp;INDEX(Itinerary!$L$6:$L$85,$K26)))</f>
        <v/>
      </c>
      <c r="J26" s="60" t="str">
        <f aca="false">IFERROR(SMALL(Itinerary!$M$6:$M$85,22),"")</f>
        <v/>
      </c>
      <c r="K26" s="60" t="str">
        <f aca="false">IF(J26="","",MATCH(J26,Itinerary!$M$6:$M$85,0))</f>
        <v/>
      </c>
    </row>
    <row r="27" customFormat="false" ht="15" hidden="false" customHeight="false" outlineLevel="0" collapsed="false">
      <c r="B27" s="148" t="str">
        <f aca="false">IF(K27="","",IF(AND(K26&lt;&gt;"",INDEX(Itinerary!$J$6:$J$85,K26)=INDEX(Itinerary!$J$6:$J$85,$K27)),"",IF(INDEX(Itinerary!$J$6:$J$85,$K27)=0,"Pre-trip","Day "&amp;INDEX(Itinerary!$J$6:$J$85,$K27)&amp;" · "&amp;TEXT(INDEX(Itinerary!$K$6:$K$85,$K27),"ddd dd mmm"))))</f>
        <v/>
      </c>
      <c r="C27" s="149" t="str">
        <f aca="false">IF(K27="","",IF(INDEX(Itinerary!$B$6:$B$85,$K27)="","",INDEX(Itinerary!$B$6:$B$85,$K27)))</f>
        <v/>
      </c>
      <c r="D27" s="150" t="str">
        <f aca="false">IF(K27="","",INDEX(Itinerary!$C$6:$C$85,$K27)&amp;"")</f>
        <v/>
      </c>
      <c r="E27" s="151" t="str">
        <f aca="false">IF(K27="","",INDEX(Itinerary!$D$6:$D$85,$K27)&amp;"")</f>
        <v/>
      </c>
      <c r="F27" s="150" t="str">
        <f aca="false">IF(K27="","",INDEX(Itinerary!$E$6:$E$85,$K27)&amp;"")</f>
        <v/>
      </c>
      <c r="G27" s="150" t="str">
        <f aca="false">IF(K27="","",INDEX(Itinerary!$F$6:$F$85,$K27)&amp;"")</f>
        <v/>
      </c>
      <c r="H27" s="150" t="str">
        <f aca="false">IF(K27="","",TRIM(INDEX(Itinerary!$G$6:$G$85,$K27)&amp;" "&amp;INDEX(Itinerary!$L$6:$L$85,$K27)))</f>
        <v/>
      </c>
      <c r="J27" s="60" t="str">
        <f aca="false">IFERROR(SMALL(Itinerary!$M$6:$M$85,23),"")</f>
        <v/>
      </c>
      <c r="K27" s="60" t="str">
        <f aca="false">IF(J27="","",MATCH(J27,Itinerary!$M$6:$M$85,0))</f>
        <v/>
      </c>
    </row>
    <row r="28" customFormat="false" ht="15" hidden="false" customHeight="false" outlineLevel="0" collapsed="false">
      <c r="B28" s="148" t="str">
        <f aca="false">IF(K28="","",IF(AND(K27&lt;&gt;"",INDEX(Itinerary!$J$6:$J$85,K27)=INDEX(Itinerary!$J$6:$J$85,$K28)),"",IF(INDEX(Itinerary!$J$6:$J$85,$K28)=0,"Pre-trip","Day "&amp;INDEX(Itinerary!$J$6:$J$85,$K28)&amp;" · "&amp;TEXT(INDEX(Itinerary!$K$6:$K$85,$K28),"ddd dd mmm"))))</f>
        <v/>
      </c>
      <c r="C28" s="149" t="str">
        <f aca="false">IF(K28="","",IF(INDEX(Itinerary!$B$6:$B$85,$K28)="","",INDEX(Itinerary!$B$6:$B$85,$K28)))</f>
        <v/>
      </c>
      <c r="D28" s="150" t="str">
        <f aca="false">IF(K28="","",INDEX(Itinerary!$C$6:$C$85,$K28)&amp;"")</f>
        <v/>
      </c>
      <c r="E28" s="151" t="str">
        <f aca="false">IF(K28="","",INDEX(Itinerary!$D$6:$D$85,$K28)&amp;"")</f>
        <v/>
      </c>
      <c r="F28" s="150" t="str">
        <f aca="false">IF(K28="","",INDEX(Itinerary!$E$6:$E$85,$K28)&amp;"")</f>
        <v/>
      </c>
      <c r="G28" s="150" t="str">
        <f aca="false">IF(K28="","",INDEX(Itinerary!$F$6:$F$85,$K28)&amp;"")</f>
        <v/>
      </c>
      <c r="H28" s="150" t="str">
        <f aca="false">IF(K28="","",TRIM(INDEX(Itinerary!$G$6:$G$85,$K28)&amp;" "&amp;INDEX(Itinerary!$L$6:$L$85,$K28)))</f>
        <v/>
      </c>
      <c r="J28" s="60" t="str">
        <f aca="false">IFERROR(SMALL(Itinerary!$M$6:$M$85,24),"")</f>
        <v/>
      </c>
      <c r="K28" s="60" t="str">
        <f aca="false">IF(J28="","",MATCH(J28,Itinerary!$M$6:$M$85,0))</f>
        <v/>
      </c>
    </row>
    <row r="29" customFormat="false" ht="15" hidden="false" customHeight="false" outlineLevel="0" collapsed="false">
      <c r="B29" s="148" t="str">
        <f aca="false">IF(K29="","",IF(AND(K28&lt;&gt;"",INDEX(Itinerary!$J$6:$J$85,K28)=INDEX(Itinerary!$J$6:$J$85,$K29)),"",IF(INDEX(Itinerary!$J$6:$J$85,$K29)=0,"Pre-trip","Day "&amp;INDEX(Itinerary!$J$6:$J$85,$K29)&amp;" · "&amp;TEXT(INDEX(Itinerary!$K$6:$K$85,$K29),"ddd dd mmm"))))</f>
        <v/>
      </c>
      <c r="C29" s="149" t="str">
        <f aca="false">IF(K29="","",IF(INDEX(Itinerary!$B$6:$B$85,$K29)="","",INDEX(Itinerary!$B$6:$B$85,$K29)))</f>
        <v/>
      </c>
      <c r="D29" s="150" t="str">
        <f aca="false">IF(K29="","",INDEX(Itinerary!$C$6:$C$85,$K29)&amp;"")</f>
        <v/>
      </c>
      <c r="E29" s="151" t="str">
        <f aca="false">IF(K29="","",INDEX(Itinerary!$D$6:$D$85,$K29)&amp;"")</f>
        <v/>
      </c>
      <c r="F29" s="150" t="str">
        <f aca="false">IF(K29="","",INDEX(Itinerary!$E$6:$E$85,$K29)&amp;"")</f>
        <v/>
      </c>
      <c r="G29" s="150" t="str">
        <f aca="false">IF(K29="","",INDEX(Itinerary!$F$6:$F$85,$K29)&amp;"")</f>
        <v/>
      </c>
      <c r="H29" s="150" t="str">
        <f aca="false">IF(K29="","",TRIM(INDEX(Itinerary!$G$6:$G$85,$K29)&amp;" "&amp;INDEX(Itinerary!$L$6:$L$85,$K29)))</f>
        <v/>
      </c>
      <c r="J29" s="60" t="str">
        <f aca="false">IFERROR(SMALL(Itinerary!$M$6:$M$85,25),"")</f>
        <v/>
      </c>
      <c r="K29" s="60" t="str">
        <f aca="false">IF(J29="","",MATCH(J29,Itinerary!$M$6:$M$85,0))</f>
        <v/>
      </c>
    </row>
    <row r="30" customFormat="false" ht="15" hidden="false" customHeight="false" outlineLevel="0" collapsed="false">
      <c r="B30" s="148" t="str">
        <f aca="false">IF(K30="","",IF(AND(K29&lt;&gt;"",INDEX(Itinerary!$J$6:$J$85,K29)=INDEX(Itinerary!$J$6:$J$85,$K30)),"",IF(INDEX(Itinerary!$J$6:$J$85,$K30)=0,"Pre-trip","Day "&amp;INDEX(Itinerary!$J$6:$J$85,$K30)&amp;" · "&amp;TEXT(INDEX(Itinerary!$K$6:$K$85,$K30),"ddd dd mmm"))))</f>
        <v/>
      </c>
      <c r="C30" s="149" t="str">
        <f aca="false">IF(K30="","",IF(INDEX(Itinerary!$B$6:$B$85,$K30)="","",INDEX(Itinerary!$B$6:$B$85,$K30)))</f>
        <v/>
      </c>
      <c r="D30" s="150" t="str">
        <f aca="false">IF(K30="","",INDEX(Itinerary!$C$6:$C$85,$K30)&amp;"")</f>
        <v/>
      </c>
      <c r="E30" s="151" t="str">
        <f aca="false">IF(K30="","",INDEX(Itinerary!$D$6:$D$85,$K30)&amp;"")</f>
        <v/>
      </c>
      <c r="F30" s="150" t="str">
        <f aca="false">IF(K30="","",INDEX(Itinerary!$E$6:$E$85,$K30)&amp;"")</f>
        <v/>
      </c>
      <c r="G30" s="150" t="str">
        <f aca="false">IF(K30="","",INDEX(Itinerary!$F$6:$F$85,$K30)&amp;"")</f>
        <v/>
      </c>
      <c r="H30" s="150" t="str">
        <f aca="false">IF(K30="","",TRIM(INDEX(Itinerary!$G$6:$G$85,$K30)&amp;" "&amp;INDEX(Itinerary!$L$6:$L$85,$K30)))</f>
        <v/>
      </c>
      <c r="J30" s="60" t="str">
        <f aca="false">IFERROR(SMALL(Itinerary!$M$6:$M$85,26),"")</f>
        <v/>
      </c>
      <c r="K30" s="60" t="str">
        <f aca="false">IF(J30="","",MATCH(J30,Itinerary!$M$6:$M$85,0))</f>
        <v/>
      </c>
    </row>
    <row r="31" customFormat="false" ht="15" hidden="false" customHeight="false" outlineLevel="0" collapsed="false">
      <c r="B31" s="148" t="str">
        <f aca="false">IF(K31="","",IF(AND(K30&lt;&gt;"",INDEX(Itinerary!$J$6:$J$85,K30)=INDEX(Itinerary!$J$6:$J$85,$K31)),"",IF(INDEX(Itinerary!$J$6:$J$85,$K31)=0,"Pre-trip","Day "&amp;INDEX(Itinerary!$J$6:$J$85,$K31)&amp;" · "&amp;TEXT(INDEX(Itinerary!$K$6:$K$85,$K31),"ddd dd mmm"))))</f>
        <v/>
      </c>
      <c r="C31" s="149" t="str">
        <f aca="false">IF(K31="","",IF(INDEX(Itinerary!$B$6:$B$85,$K31)="","",INDEX(Itinerary!$B$6:$B$85,$K31)))</f>
        <v/>
      </c>
      <c r="D31" s="150" t="str">
        <f aca="false">IF(K31="","",INDEX(Itinerary!$C$6:$C$85,$K31)&amp;"")</f>
        <v/>
      </c>
      <c r="E31" s="151" t="str">
        <f aca="false">IF(K31="","",INDEX(Itinerary!$D$6:$D$85,$K31)&amp;"")</f>
        <v/>
      </c>
      <c r="F31" s="150" t="str">
        <f aca="false">IF(K31="","",INDEX(Itinerary!$E$6:$E$85,$K31)&amp;"")</f>
        <v/>
      </c>
      <c r="G31" s="150" t="str">
        <f aca="false">IF(K31="","",INDEX(Itinerary!$F$6:$F$85,$K31)&amp;"")</f>
        <v/>
      </c>
      <c r="H31" s="150" t="str">
        <f aca="false">IF(K31="","",TRIM(INDEX(Itinerary!$G$6:$G$85,$K31)&amp;" "&amp;INDEX(Itinerary!$L$6:$L$85,$K31)))</f>
        <v/>
      </c>
      <c r="J31" s="60" t="str">
        <f aca="false">IFERROR(SMALL(Itinerary!$M$6:$M$85,27),"")</f>
        <v/>
      </c>
      <c r="K31" s="60" t="str">
        <f aca="false">IF(J31="","",MATCH(J31,Itinerary!$M$6:$M$85,0))</f>
        <v/>
      </c>
    </row>
    <row r="32" customFormat="false" ht="15" hidden="false" customHeight="false" outlineLevel="0" collapsed="false">
      <c r="B32" s="148" t="str">
        <f aca="false">IF(K32="","",IF(AND(K31&lt;&gt;"",INDEX(Itinerary!$J$6:$J$85,K31)=INDEX(Itinerary!$J$6:$J$85,$K32)),"",IF(INDEX(Itinerary!$J$6:$J$85,$K32)=0,"Pre-trip","Day "&amp;INDEX(Itinerary!$J$6:$J$85,$K32)&amp;" · "&amp;TEXT(INDEX(Itinerary!$K$6:$K$85,$K32),"ddd dd mmm"))))</f>
        <v/>
      </c>
      <c r="C32" s="149" t="str">
        <f aca="false">IF(K32="","",IF(INDEX(Itinerary!$B$6:$B$85,$K32)="","",INDEX(Itinerary!$B$6:$B$85,$K32)))</f>
        <v/>
      </c>
      <c r="D32" s="150" t="str">
        <f aca="false">IF(K32="","",INDEX(Itinerary!$C$6:$C$85,$K32)&amp;"")</f>
        <v/>
      </c>
      <c r="E32" s="151" t="str">
        <f aca="false">IF(K32="","",INDEX(Itinerary!$D$6:$D$85,$K32)&amp;"")</f>
        <v/>
      </c>
      <c r="F32" s="150" t="str">
        <f aca="false">IF(K32="","",INDEX(Itinerary!$E$6:$E$85,$K32)&amp;"")</f>
        <v/>
      </c>
      <c r="G32" s="150" t="str">
        <f aca="false">IF(K32="","",INDEX(Itinerary!$F$6:$F$85,$K32)&amp;"")</f>
        <v/>
      </c>
      <c r="H32" s="150" t="str">
        <f aca="false">IF(K32="","",TRIM(INDEX(Itinerary!$G$6:$G$85,$K32)&amp;" "&amp;INDEX(Itinerary!$L$6:$L$85,$K32)))</f>
        <v/>
      </c>
      <c r="J32" s="60" t="str">
        <f aca="false">IFERROR(SMALL(Itinerary!$M$6:$M$85,28),"")</f>
        <v/>
      </c>
      <c r="K32" s="60" t="str">
        <f aca="false">IF(J32="","",MATCH(J32,Itinerary!$M$6:$M$85,0))</f>
        <v/>
      </c>
    </row>
    <row r="33" customFormat="false" ht="15" hidden="false" customHeight="false" outlineLevel="0" collapsed="false">
      <c r="B33" s="148" t="str">
        <f aca="false">IF(K33="","",IF(AND(K32&lt;&gt;"",INDEX(Itinerary!$J$6:$J$85,K32)=INDEX(Itinerary!$J$6:$J$85,$K33)),"",IF(INDEX(Itinerary!$J$6:$J$85,$K33)=0,"Pre-trip","Day "&amp;INDEX(Itinerary!$J$6:$J$85,$K33)&amp;" · "&amp;TEXT(INDEX(Itinerary!$K$6:$K$85,$K33),"ddd dd mmm"))))</f>
        <v/>
      </c>
      <c r="C33" s="149" t="str">
        <f aca="false">IF(K33="","",IF(INDEX(Itinerary!$B$6:$B$85,$K33)="","",INDEX(Itinerary!$B$6:$B$85,$K33)))</f>
        <v/>
      </c>
      <c r="D33" s="150" t="str">
        <f aca="false">IF(K33="","",INDEX(Itinerary!$C$6:$C$85,$K33)&amp;"")</f>
        <v/>
      </c>
      <c r="E33" s="151" t="str">
        <f aca="false">IF(K33="","",INDEX(Itinerary!$D$6:$D$85,$K33)&amp;"")</f>
        <v/>
      </c>
      <c r="F33" s="150" t="str">
        <f aca="false">IF(K33="","",INDEX(Itinerary!$E$6:$E$85,$K33)&amp;"")</f>
        <v/>
      </c>
      <c r="G33" s="150" t="str">
        <f aca="false">IF(K33="","",INDEX(Itinerary!$F$6:$F$85,$K33)&amp;"")</f>
        <v/>
      </c>
      <c r="H33" s="150" t="str">
        <f aca="false">IF(K33="","",TRIM(INDEX(Itinerary!$G$6:$G$85,$K33)&amp;" "&amp;INDEX(Itinerary!$L$6:$L$85,$K33)))</f>
        <v/>
      </c>
      <c r="J33" s="60" t="str">
        <f aca="false">IFERROR(SMALL(Itinerary!$M$6:$M$85,29),"")</f>
        <v/>
      </c>
      <c r="K33" s="60" t="str">
        <f aca="false">IF(J33="","",MATCH(J33,Itinerary!$M$6:$M$85,0))</f>
        <v/>
      </c>
    </row>
    <row r="34" customFormat="false" ht="15" hidden="false" customHeight="false" outlineLevel="0" collapsed="false">
      <c r="B34" s="148" t="str">
        <f aca="false">IF(K34="","",IF(AND(K33&lt;&gt;"",INDEX(Itinerary!$J$6:$J$85,K33)=INDEX(Itinerary!$J$6:$J$85,$K34)),"",IF(INDEX(Itinerary!$J$6:$J$85,$K34)=0,"Pre-trip","Day "&amp;INDEX(Itinerary!$J$6:$J$85,$K34)&amp;" · "&amp;TEXT(INDEX(Itinerary!$K$6:$K$85,$K34),"ddd dd mmm"))))</f>
        <v/>
      </c>
      <c r="C34" s="149" t="str">
        <f aca="false">IF(K34="","",IF(INDEX(Itinerary!$B$6:$B$85,$K34)="","",INDEX(Itinerary!$B$6:$B$85,$K34)))</f>
        <v/>
      </c>
      <c r="D34" s="150" t="str">
        <f aca="false">IF(K34="","",INDEX(Itinerary!$C$6:$C$85,$K34)&amp;"")</f>
        <v/>
      </c>
      <c r="E34" s="151" t="str">
        <f aca="false">IF(K34="","",INDEX(Itinerary!$D$6:$D$85,$K34)&amp;"")</f>
        <v/>
      </c>
      <c r="F34" s="150" t="str">
        <f aca="false">IF(K34="","",INDEX(Itinerary!$E$6:$E$85,$K34)&amp;"")</f>
        <v/>
      </c>
      <c r="G34" s="150" t="str">
        <f aca="false">IF(K34="","",INDEX(Itinerary!$F$6:$F$85,$K34)&amp;"")</f>
        <v/>
      </c>
      <c r="H34" s="150" t="str">
        <f aca="false">IF(K34="","",TRIM(INDEX(Itinerary!$G$6:$G$85,$K34)&amp;" "&amp;INDEX(Itinerary!$L$6:$L$85,$K34)))</f>
        <v/>
      </c>
      <c r="J34" s="60" t="str">
        <f aca="false">IFERROR(SMALL(Itinerary!$M$6:$M$85,30),"")</f>
        <v/>
      </c>
      <c r="K34" s="60" t="str">
        <f aca="false">IF(J34="","",MATCH(J34,Itinerary!$M$6:$M$85,0))</f>
        <v/>
      </c>
    </row>
    <row r="35" customFormat="false" ht="15" hidden="false" customHeight="false" outlineLevel="0" collapsed="false">
      <c r="B35" s="148" t="str">
        <f aca="false">IF(K35="","",IF(AND(K34&lt;&gt;"",INDEX(Itinerary!$J$6:$J$85,K34)=INDEX(Itinerary!$J$6:$J$85,$K35)),"",IF(INDEX(Itinerary!$J$6:$J$85,$K35)=0,"Pre-trip","Day "&amp;INDEX(Itinerary!$J$6:$J$85,$K35)&amp;" · "&amp;TEXT(INDEX(Itinerary!$K$6:$K$85,$K35),"ddd dd mmm"))))</f>
        <v/>
      </c>
      <c r="C35" s="149" t="str">
        <f aca="false">IF(K35="","",IF(INDEX(Itinerary!$B$6:$B$85,$K35)="","",INDEX(Itinerary!$B$6:$B$85,$K35)))</f>
        <v/>
      </c>
      <c r="D35" s="150" t="str">
        <f aca="false">IF(K35="","",INDEX(Itinerary!$C$6:$C$85,$K35)&amp;"")</f>
        <v/>
      </c>
      <c r="E35" s="151" t="str">
        <f aca="false">IF(K35="","",INDEX(Itinerary!$D$6:$D$85,$K35)&amp;"")</f>
        <v/>
      </c>
      <c r="F35" s="150" t="str">
        <f aca="false">IF(K35="","",INDEX(Itinerary!$E$6:$E$85,$K35)&amp;"")</f>
        <v/>
      </c>
      <c r="G35" s="150" t="str">
        <f aca="false">IF(K35="","",INDEX(Itinerary!$F$6:$F$85,$K35)&amp;"")</f>
        <v/>
      </c>
      <c r="H35" s="150" t="str">
        <f aca="false">IF(K35="","",TRIM(INDEX(Itinerary!$G$6:$G$85,$K35)&amp;" "&amp;INDEX(Itinerary!$L$6:$L$85,$K35)))</f>
        <v/>
      </c>
      <c r="J35" s="60" t="str">
        <f aca="false">IFERROR(SMALL(Itinerary!$M$6:$M$85,31),"")</f>
        <v/>
      </c>
      <c r="K35" s="60" t="str">
        <f aca="false">IF(J35="","",MATCH(J35,Itinerary!$M$6:$M$85,0))</f>
        <v/>
      </c>
    </row>
    <row r="36" customFormat="false" ht="15" hidden="false" customHeight="false" outlineLevel="0" collapsed="false">
      <c r="B36" s="148" t="str">
        <f aca="false">IF(K36="","",IF(AND(K35&lt;&gt;"",INDEX(Itinerary!$J$6:$J$85,K35)=INDEX(Itinerary!$J$6:$J$85,$K36)),"",IF(INDEX(Itinerary!$J$6:$J$85,$K36)=0,"Pre-trip","Day "&amp;INDEX(Itinerary!$J$6:$J$85,$K36)&amp;" · "&amp;TEXT(INDEX(Itinerary!$K$6:$K$85,$K36),"ddd dd mmm"))))</f>
        <v/>
      </c>
      <c r="C36" s="149" t="str">
        <f aca="false">IF(K36="","",IF(INDEX(Itinerary!$B$6:$B$85,$K36)="","",INDEX(Itinerary!$B$6:$B$85,$K36)))</f>
        <v/>
      </c>
      <c r="D36" s="150" t="str">
        <f aca="false">IF(K36="","",INDEX(Itinerary!$C$6:$C$85,$K36)&amp;"")</f>
        <v/>
      </c>
      <c r="E36" s="151" t="str">
        <f aca="false">IF(K36="","",INDEX(Itinerary!$D$6:$D$85,$K36)&amp;"")</f>
        <v/>
      </c>
      <c r="F36" s="150" t="str">
        <f aca="false">IF(K36="","",INDEX(Itinerary!$E$6:$E$85,$K36)&amp;"")</f>
        <v/>
      </c>
      <c r="G36" s="150" t="str">
        <f aca="false">IF(K36="","",INDEX(Itinerary!$F$6:$F$85,$K36)&amp;"")</f>
        <v/>
      </c>
      <c r="H36" s="150" t="str">
        <f aca="false">IF(K36="","",TRIM(INDEX(Itinerary!$G$6:$G$85,$K36)&amp;" "&amp;INDEX(Itinerary!$L$6:$L$85,$K36)))</f>
        <v/>
      </c>
      <c r="J36" s="60" t="str">
        <f aca="false">IFERROR(SMALL(Itinerary!$M$6:$M$85,32),"")</f>
        <v/>
      </c>
      <c r="K36" s="60" t="str">
        <f aca="false">IF(J36="","",MATCH(J36,Itinerary!$M$6:$M$85,0))</f>
        <v/>
      </c>
    </row>
    <row r="37" customFormat="false" ht="15" hidden="false" customHeight="false" outlineLevel="0" collapsed="false">
      <c r="B37" s="148" t="str">
        <f aca="false">IF(K37="","",IF(AND(K36&lt;&gt;"",INDEX(Itinerary!$J$6:$J$85,K36)=INDEX(Itinerary!$J$6:$J$85,$K37)),"",IF(INDEX(Itinerary!$J$6:$J$85,$K37)=0,"Pre-trip","Day "&amp;INDEX(Itinerary!$J$6:$J$85,$K37)&amp;" · "&amp;TEXT(INDEX(Itinerary!$K$6:$K$85,$K37),"ddd dd mmm"))))</f>
        <v/>
      </c>
      <c r="C37" s="149" t="str">
        <f aca="false">IF(K37="","",IF(INDEX(Itinerary!$B$6:$B$85,$K37)="","",INDEX(Itinerary!$B$6:$B$85,$K37)))</f>
        <v/>
      </c>
      <c r="D37" s="150" t="str">
        <f aca="false">IF(K37="","",INDEX(Itinerary!$C$6:$C$85,$K37)&amp;"")</f>
        <v/>
      </c>
      <c r="E37" s="151" t="str">
        <f aca="false">IF(K37="","",INDEX(Itinerary!$D$6:$D$85,$K37)&amp;"")</f>
        <v/>
      </c>
      <c r="F37" s="150" t="str">
        <f aca="false">IF(K37="","",INDEX(Itinerary!$E$6:$E$85,$K37)&amp;"")</f>
        <v/>
      </c>
      <c r="G37" s="150" t="str">
        <f aca="false">IF(K37="","",INDEX(Itinerary!$F$6:$F$85,$K37)&amp;"")</f>
        <v/>
      </c>
      <c r="H37" s="150" t="str">
        <f aca="false">IF(K37="","",TRIM(INDEX(Itinerary!$G$6:$G$85,$K37)&amp;" "&amp;INDEX(Itinerary!$L$6:$L$85,$K37)))</f>
        <v/>
      </c>
      <c r="J37" s="60" t="str">
        <f aca="false">IFERROR(SMALL(Itinerary!$M$6:$M$85,33),"")</f>
        <v/>
      </c>
      <c r="K37" s="60" t="str">
        <f aca="false">IF(J37="","",MATCH(J37,Itinerary!$M$6:$M$85,0))</f>
        <v/>
      </c>
    </row>
    <row r="38" customFormat="false" ht="15" hidden="false" customHeight="false" outlineLevel="0" collapsed="false">
      <c r="B38" s="148" t="str">
        <f aca="false">IF(K38="","",IF(AND(K37&lt;&gt;"",INDEX(Itinerary!$J$6:$J$85,K37)=INDEX(Itinerary!$J$6:$J$85,$K38)),"",IF(INDEX(Itinerary!$J$6:$J$85,$K38)=0,"Pre-trip","Day "&amp;INDEX(Itinerary!$J$6:$J$85,$K38)&amp;" · "&amp;TEXT(INDEX(Itinerary!$K$6:$K$85,$K38),"ddd dd mmm"))))</f>
        <v/>
      </c>
      <c r="C38" s="149" t="str">
        <f aca="false">IF(K38="","",IF(INDEX(Itinerary!$B$6:$B$85,$K38)="","",INDEX(Itinerary!$B$6:$B$85,$K38)))</f>
        <v/>
      </c>
      <c r="D38" s="150" t="str">
        <f aca="false">IF(K38="","",INDEX(Itinerary!$C$6:$C$85,$K38)&amp;"")</f>
        <v/>
      </c>
      <c r="E38" s="151" t="str">
        <f aca="false">IF(K38="","",INDEX(Itinerary!$D$6:$D$85,$K38)&amp;"")</f>
        <v/>
      </c>
      <c r="F38" s="150" t="str">
        <f aca="false">IF(K38="","",INDEX(Itinerary!$E$6:$E$85,$K38)&amp;"")</f>
        <v/>
      </c>
      <c r="G38" s="150" t="str">
        <f aca="false">IF(K38="","",INDEX(Itinerary!$F$6:$F$85,$K38)&amp;"")</f>
        <v/>
      </c>
      <c r="H38" s="150" t="str">
        <f aca="false">IF(K38="","",TRIM(INDEX(Itinerary!$G$6:$G$85,$K38)&amp;" "&amp;INDEX(Itinerary!$L$6:$L$85,$K38)))</f>
        <v/>
      </c>
      <c r="J38" s="60" t="str">
        <f aca="false">IFERROR(SMALL(Itinerary!$M$6:$M$85,34),"")</f>
        <v/>
      </c>
      <c r="K38" s="60" t="str">
        <f aca="false">IF(J38="","",MATCH(J38,Itinerary!$M$6:$M$85,0))</f>
        <v/>
      </c>
    </row>
    <row r="39" customFormat="false" ht="15" hidden="false" customHeight="false" outlineLevel="0" collapsed="false">
      <c r="B39" s="148" t="str">
        <f aca="false">IF(K39="","",IF(AND(K38&lt;&gt;"",INDEX(Itinerary!$J$6:$J$85,K38)=INDEX(Itinerary!$J$6:$J$85,$K39)),"",IF(INDEX(Itinerary!$J$6:$J$85,$K39)=0,"Pre-trip","Day "&amp;INDEX(Itinerary!$J$6:$J$85,$K39)&amp;" · "&amp;TEXT(INDEX(Itinerary!$K$6:$K$85,$K39),"ddd dd mmm"))))</f>
        <v/>
      </c>
      <c r="C39" s="149" t="str">
        <f aca="false">IF(K39="","",IF(INDEX(Itinerary!$B$6:$B$85,$K39)="","",INDEX(Itinerary!$B$6:$B$85,$K39)))</f>
        <v/>
      </c>
      <c r="D39" s="150" t="str">
        <f aca="false">IF(K39="","",INDEX(Itinerary!$C$6:$C$85,$K39)&amp;"")</f>
        <v/>
      </c>
      <c r="E39" s="151" t="str">
        <f aca="false">IF(K39="","",INDEX(Itinerary!$D$6:$D$85,$K39)&amp;"")</f>
        <v/>
      </c>
      <c r="F39" s="150" t="str">
        <f aca="false">IF(K39="","",INDEX(Itinerary!$E$6:$E$85,$K39)&amp;"")</f>
        <v/>
      </c>
      <c r="G39" s="150" t="str">
        <f aca="false">IF(K39="","",INDEX(Itinerary!$F$6:$F$85,$K39)&amp;"")</f>
        <v/>
      </c>
      <c r="H39" s="150" t="str">
        <f aca="false">IF(K39="","",TRIM(INDEX(Itinerary!$G$6:$G$85,$K39)&amp;" "&amp;INDEX(Itinerary!$L$6:$L$85,$K39)))</f>
        <v/>
      </c>
      <c r="J39" s="60" t="str">
        <f aca="false">IFERROR(SMALL(Itinerary!$M$6:$M$85,35),"")</f>
        <v/>
      </c>
      <c r="K39" s="60" t="str">
        <f aca="false">IF(J39="","",MATCH(J39,Itinerary!$M$6:$M$85,0))</f>
        <v/>
      </c>
    </row>
    <row r="40" customFormat="false" ht="15" hidden="false" customHeight="false" outlineLevel="0" collapsed="false">
      <c r="B40" s="148" t="str">
        <f aca="false">IF(K40="","",IF(AND(K39&lt;&gt;"",INDEX(Itinerary!$J$6:$J$85,K39)=INDEX(Itinerary!$J$6:$J$85,$K40)),"",IF(INDEX(Itinerary!$J$6:$J$85,$K40)=0,"Pre-trip","Day "&amp;INDEX(Itinerary!$J$6:$J$85,$K40)&amp;" · "&amp;TEXT(INDEX(Itinerary!$K$6:$K$85,$K40),"ddd dd mmm"))))</f>
        <v/>
      </c>
      <c r="C40" s="149" t="str">
        <f aca="false">IF(K40="","",IF(INDEX(Itinerary!$B$6:$B$85,$K40)="","",INDEX(Itinerary!$B$6:$B$85,$K40)))</f>
        <v/>
      </c>
      <c r="D40" s="150" t="str">
        <f aca="false">IF(K40="","",INDEX(Itinerary!$C$6:$C$85,$K40)&amp;"")</f>
        <v/>
      </c>
      <c r="E40" s="151" t="str">
        <f aca="false">IF(K40="","",INDEX(Itinerary!$D$6:$D$85,$K40)&amp;"")</f>
        <v/>
      </c>
      <c r="F40" s="150" t="str">
        <f aca="false">IF(K40="","",INDEX(Itinerary!$E$6:$E$85,$K40)&amp;"")</f>
        <v/>
      </c>
      <c r="G40" s="150" t="str">
        <f aca="false">IF(K40="","",INDEX(Itinerary!$F$6:$F$85,$K40)&amp;"")</f>
        <v/>
      </c>
      <c r="H40" s="150" t="str">
        <f aca="false">IF(K40="","",TRIM(INDEX(Itinerary!$G$6:$G$85,$K40)&amp;" "&amp;INDEX(Itinerary!$L$6:$L$85,$K40)))</f>
        <v/>
      </c>
      <c r="J40" s="60" t="str">
        <f aca="false">IFERROR(SMALL(Itinerary!$M$6:$M$85,36),"")</f>
        <v/>
      </c>
      <c r="K40" s="60" t="str">
        <f aca="false">IF(J40="","",MATCH(J40,Itinerary!$M$6:$M$85,0))</f>
        <v/>
      </c>
    </row>
    <row r="41" customFormat="false" ht="15" hidden="false" customHeight="false" outlineLevel="0" collapsed="false">
      <c r="B41" s="148" t="str">
        <f aca="false">IF(K41="","",IF(AND(K40&lt;&gt;"",INDEX(Itinerary!$J$6:$J$85,K40)=INDEX(Itinerary!$J$6:$J$85,$K41)),"",IF(INDEX(Itinerary!$J$6:$J$85,$K41)=0,"Pre-trip","Day "&amp;INDEX(Itinerary!$J$6:$J$85,$K41)&amp;" · "&amp;TEXT(INDEX(Itinerary!$K$6:$K$85,$K41),"ddd dd mmm"))))</f>
        <v/>
      </c>
      <c r="C41" s="149" t="str">
        <f aca="false">IF(K41="","",IF(INDEX(Itinerary!$B$6:$B$85,$K41)="","",INDEX(Itinerary!$B$6:$B$85,$K41)))</f>
        <v/>
      </c>
      <c r="D41" s="150" t="str">
        <f aca="false">IF(K41="","",INDEX(Itinerary!$C$6:$C$85,$K41)&amp;"")</f>
        <v/>
      </c>
      <c r="E41" s="151" t="str">
        <f aca="false">IF(K41="","",INDEX(Itinerary!$D$6:$D$85,$K41)&amp;"")</f>
        <v/>
      </c>
      <c r="F41" s="150" t="str">
        <f aca="false">IF(K41="","",INDEX(Itinerary!$E$6:$E$85,$K41)&amp;"")</f>
        <v/>
      </c>
      <c r="G41" s="150" t="str">
        <f aca="false">IF(K41="","",INDEX(Itinerary!$F$6:$F$85,$K41)&amp;"")</f>
        <v/>
      </c>
      <c r="H41" s="150" t="str">
        <f aca="false">IF(K41="","",TRIM(INDEX(Itinerary!$G$6:$G$85,$K41)&amp;" "&amp;INDEX(Itinerary!$L$6:$L$85,$K41)))</f>
        <v/>
      </c>
      <c r="J41" s="60" t="str">
        <f aca="false">IFERROR(SMALL(Itinerary!$M$6:$M$85,37),"")</f>
        <v/>
      </c>
      <c r="K41" s="60" t="str">
        <f aca="false">IF(J41="","",MATCH(J41,Itinerary!$M$6:$M$85,0))</f>
        <v/>
      </c>
    </row>
    <row r="42" customFormat="false" ht="15" hidden="false" customHeight="false" outlineLevel="0" collapsed="false">
      <c r="B42" s="148" t="str">
        <f aca="false">IF(K42="","",IF(AND(K41&lt;&gt;"",INDEX(Itinerary!$J$6:$J$85,K41)=INDEX(Itinerary!$J$6:$J$85,$K42)),"",IF(INDEX(Itinerary!$J$6:$J$85,$K42)=0,"Pre-trip","Day "&amp;INDEX(Itinerary!$J$6:$J$85,$K42)&amp;" · "&amp;TEXT(INDEX(Itinerary!$K$6:$K$85,$K42),"ddd dd mmm"))))</f>
        <v/>
      </c>
      <c r="C42" s="149" t="str">
        <f aca="false">IF(K42="","",IF(INDEX(Itinerary!$B$6:$B$85,$K42)="","",INDEX(Itinerary!$B$6:$B$85,$K42)))</f>
        <v/>
      </c>
      <c r="D42" s="150" t="str">
        <f aca="false">IF(K42="","",INDEX(Itinerary!$C$6:$C$85,$K42)&amp;"")</f>
        <v/>
      </c>
      <c r="E42" s="151" t="str">
        <f aca="false">IF(K42="","",INDEX(Itinerary!$D$6:$D$85,$K42)&amp;"")</f>
        <v/>
      </c>
      <c r="F42" s="150" t="str">
        <f aca="false">IF(K42="","",INDEX(Itinerary!$E$6:$E$85,$K42)&amp;"")</f>
        <v/>
      </c>
      <c r="G42" s="150" t="str">
        <f aca="false">IF(K42="","",INDEX(Itinerary!$F$6:$F$85,$K42)&amp;"")</f>
        <v/>
      </c>
      <c r="H42" s="150" t="str">
        <f aca="false">IF(K42="","",TRIM(INDEX(Itinerary!$G$6:$G$85,$K42)&amp;" "&amp;INDEX(Itinerary!$L$6:$L$85,$K42)))</f>
        <v/>
      </c>
      <c r="J42" s="60" t="str">
        <f aca="false">IFERROR(SMALL(Itinerary!$M$6:$M$85,38),"")</f>
        <v/>
      </c>
      <c r="K42" s="60" t="str">
        <f aca="false">IF(J42="","",MATCH(J42,Itinerary!$M$6:$M$85,0))</f>
        <v/>
      </c>
    </row>
    <row r="43" customFormat="false" ht="15" hidden="false" customHeight="false" outlineLevel="0" collapsed="false">
      <c r="B43" s="148" t="str">
        <f aca="false">IF(K43="","",IF(AND(K42&lt;&gt;"",INDEX(Itinerary!$J$6:$J$85,K42)=INDEX(Itinerary!$J$6:$J$85,$K43)),"",IF(INDEX(Itinerary!$J$6:$J$85,$K43)=0,"Pre-trip","Day "&amp;INDEX(Itinerary!$J$6:$J$85,$K43)&amp;" · "&amp;TEXT(INDEX(Itinerary!$K$6:$K$85,$K43),"ddd dd mmm"))))</f>
        <v/>
      </c>
      <c r="C43" s="149" t="str">
        <f aca="false">IF(K43="","",IF(INDEX(Itinerary!$B$6:$B$85,$K43)="","",INDEX(Itinerary!$B$6:$B$85,$K43)))</f>
        <v/>
      </c>
      <c r="D43" s="150" t="str">
        <f aca="false">IF(K43="","",INDEX(Itinerary!$C$6:$C$85,$K43)&amp;"")</f>
        <v/>
      </c>
      <c r="E43" s="151" t="str">
        <f aca="false">IF(K43="","",INDEX(Itinerary!$D$6:$D$85,$K43)&amp;"")</f>
        <v/>
      </c>
      <c r="F43" s="150" t="str">
        <f aca="false">IF(K43="","",INDEX(Itinerary!$E$6:$E$85,$K43)&amp;"")</f>
        <v/>
      </c>
      <c r="G43" s="150" t="str">
        <f aca="false">IF(K43="","",INDEX(Itinerary!$F$6:$F$85,$K43)&amp;"")</f>
        <v/>
      </c>
      <c r="H43" s="150" t="str">
        <f aca="false">IF(K43="","",TRIM(INDEX(Itinerary!$G$6:$G$85,$K43)&amp;" "&amp;INDEX(Itinerary!$L$6:$L$85,$K43)))</f>
        <v/>
      </c>
      <c r="J43" s="60" t="str">
        <f aca="false">IFERROR(SMALL(Itinerary!$M$6:$M$85,39),"")</f>
        <v/>
      </c>
      <c r="K43" s="60" t="str">
        <f aca="false">IF(J43="","",MATCH(J43,Itinerary!$M$6:$M$85,0))</f>
        <v/>
      </c>
    </row>
    <row r="44" customFormat="false" ht="15" hidden="false" customHeight="false" outlineLevel="0" collapsed="false">
      <c r="B44" s="148" t="str">
        <f aca="false">IF(K44="","",IF(AND(K43&lt;&gt;"",INDEX(Itinerary!$J$6:$J$85,K43)=INDEX(Itinerary!$J$6:$J$85,$K44)),"",IF(INDEX(Itinerary!$J$6:$J$85,$K44)=0,"Pre-trip","Day "&amp;INDEX(Itinerary!$J$6:$J$85,$K44)&amp;" · "&amp;TEXT(INDEX(Itinerary!$K$6:$K$85,$K44),"ddd dd mmm"))))</f>
        <v/>
      </c>
      <c r="C44" s="149" t="str">
        <f aca="false">IF(K44="","",IF(INDEX(Itinerary!$B$6:$B$85,$K44)="","",INDEX(Itinerary!$B$6:$B$85,$K44)))</f>
        <v/>
      </c>
      <c r="D44" s="150" t="str">
        <f aca="false">IF(K44="","",INDEX(Itinerary!$C$6:$C$85,$K44)&amp;"")</f>
        <v/>
      </c>
      <c r="E44" s="151" t="str">
        <f aca="false">IF(K44="","",INDEX(Itinerary!$D$6:$D$85,$K44)&amp;"")</f>
        <v/>
      </c>
      <c r="F44" s="150" t="str">
        <f aca="false">IF(K44="","",INDEX(Itinerary!$E$6:$E$85,$K44)&amp;"")</f>
        <v/>
      </c>
      <c r="G44" s="150" t="str">
        <f aca="false">IF(K44="","",INDEX(Itinerary!$F$6:$F$85,$K44)&amp;"")</f>
        <v/>
      </c>
      <c r="H44" s="150" t="str">
        <f aca="false">IF(K44="","",TRIM(INDEX(Itinerary!$G$6:$G$85,$K44)&amp;" "&amp;INDEX(Itinerary!$L$6:$L$85,$K44)))</f>
        <v/>
      </c>
      <c r="J44" s="60" t="str">
        <f aca="false">IFERROR(SMALL(Itinerary!$M$6:$M$85,40),"")</f>
        <v/>
      </c>
      <c r="K44" s="60" t="str">
        <f aca="false">IF(J44="","",MATCH(J44,Itinerary!$M$6:$M$85,0))</f>
        <v/>
      </c>
    </row>
    <row r="45" customFormat="false" ht="15" hidden="false" customHeight="false" outlineLevel="0" collapsed="false">
      <c r="B45" s="148" t="str">
        <f aca="false">IF(K45="","",IF(AND(K44&lt;&gt;"",INDEX(Itinerary!$J$6:$J$85,K44)=INDEX(Itinerary!$J$6:$J$85,$K45)),"",IF(INDEX(Itinerary!$J$6:$J$85,$K45)=0,"Pre-trip","Day "&amp;INDEX(Itinerary!$J$6:$J$85,$K45)&amp;" · "&amp;TEXT(INDEX(Itinerary!$K$6:$K$85,$K45),"ddd dd mmm"))))</f>
        <v/>
      </c>
      <c r="C45" s="149" t="str">
        <f aca="false">IF(K45="","",IF(INDEX(Itinerary!$B$6:$B$85,$K45)="","",INDEX(Itinerary!$B$6:$B$85,$K45)))</f>
        <v/>
      </c>
      <c r="D45" s="150" t="str">
        <f aca="false">IF(K45="","",INDEX(Itinerary!$C$6:$C$85,$K45)&amp;"")</f>
        <v/>
      </c>
      <c r="E45" s="151" t="str">
        <f aca="false">IF(K45="","",INDEX(Itinerary!$D$6:$D$85,$K45)&amp;"")</f>
        <v/>
      </c>
      <c r="F45" s="150" t="str">
        <f aca="false">IF(K45="","",INDEX(Itinerary!$E$6:$E$85,$K45)&amp;"")</f>
        <v/>
      </c>
      <c r="G45" s="150" t="str">
        <f aca="false">IF(K45="","",INDEX(Itinerary!$F$6:$F$85,$K45)&amp;"")</f>
        <v/>
      </c>
      <c r="H45" s="150" t="str">
        <f aca="false">IF(K45="","",TRIM(INDEX(Itinerary!$G$6:$G$85,$K45)&amp;" "&amp;INDEX(Itinerary!$L$6:$L$85,$K45)))</f>
        <v/>
      </c>
      <c r="J45" s="60" t="str">
        <f aca="false">IFERROR(SMALL(Itinerary!$M$6:$M$85,41),"")</f>
        <v/>
      </c>
      <c r="K45" s="60" t="str">
        <f aca="false">IF(J45="","",MATCH(J45,Itinerary!$M$6:$M$85,0))</f>
        <v/>
      </c>
    </row>
    <row r="46" customFormat="false" ht="15" hidden="false" customHeight="false" outlineLevel="0" collapsed="false">
      <c r="B46" s="148" t="str">
        <f aca="false">IF(K46="","",IF(AND(K45&lt;&gt;"",INDEX(Itinerary!$J$6:$J$85,K45)=INDEX(Itinerary!$J$6:$J$85,$K46)),"",IF(INDEX(Itinerary!$J$6:$J$85,$K46)=0,"Pre-trip","Day "&amp;INDEX(Itinerary!$J$6:$J$85,$K46)&amp;" · "&amp;TEXT(INDEX(Itinerary!$K$6:$K$85,$K46),"ddd dd mmm"))))</f>
        <v/>
      </c>
      <c r="C46" s="149" t="str">
        <f aca="false">IF(K46="","",IF(INDEX(Itinerary!$B$6:$B$85,$K46)="","",INDEX(Itinerary!$B$6:$B$85,$K46)))</f>
        <v/>
      </c>
      <c r="D46" s="150" t="str">
        <f aca="false">IF(K46="","",INDEX(Itinerary!$C$6:$C$85,$K46)&amp;"")</f>
        <v/>
      </c>
      <c r="E46" s="151" t="str">
        <f aca="false">IF(K46="","",INDEX(Itinerary!$D$6:$D$85,$K46)&amp;"")</f>
        <v/>
      </c>
      <c r="F46" s="150" t="str">
        <f aca="false">IF(K46="","",INDEX(Itinerary!$E$6:$E$85,$K46)&amp;"")</f>
        <v/>
      </c>
      <c r="G46" s="150" t="str">
        <f aca="false">IF(K46="","",INDEX(Itinerary!$F$6:$F$85,$K46)&amp;"")</f>
        <v/>
      </c>
      <c r="H46" s="150" t="str">
        <f aca="false">IF(K46="","",TRIM(INDEX(Itinerary!$G$6:$G$85,$K46)&amp;" "&amp;INDEX(Itinerary!$L$6:$L$85,$K46)))</f>
        <v/>
      </c>
      <c r="J46" s="60" t="str">
        <f aca="false">IFERROR(SMALL(Itinerary!$M$6:$M$85,42),"")</f>
        <v/>
      </c>
      <c r="K46" s="60" t="str">
        <f aca="false">IF(J46="","",MATCH(J46,Itinerary!$M$6:$M$85,0))</f>
        <v/>
      </c>
    </row>
    <row r="47" customFormat="false" ht="15" hidden="false" customHeight="false" outlineLevel="0" collapsed="false">
      <c r="B47" s="148" t="str">
        <f aca="false">IF(K47="","",IF(AND(K46&lt;&gt;"",INDEX(Itinerary!$J$6:$J$85,K46)=INDEX(Itinerary!$J$6:$J$85,$K47)),"",IF(INDEX(Itinerary!$J$6:$J$85,$K47)=0,"Pre-trip","Day "&amp;INDEX(Itinerary!$J$6:$J$85,$K47)&amp;" · "&amp;TEXT(INDEX(Itinerary!$K$6:$K$85,$K47),"ddd dd mmm"))))</f>
        <v/>
      </c>
      <c r="C47" s="149" t="str">
        <f aca="false">IF(K47="","",IF(INDEX(Itinerary!$B$6:$B$85,$K47)="","",INDEX(Itinerary!$B$6:$B$85,$K47)))</f>
        <v/>
      </c>
      <c r="D47" s="150" t="str">
        <f aca="false">IF(K47="","",INDEX(Itinerary!$C$6:$C$85,$K47)&amp;"")</f>
        <v/>
      </c>
      <c r="E47" s="151" t="str">
        <f aca="false">IF(K47="","",INDEX(Itinerary!$D$6:$D$85,$K47)&amp;"")</f>
        <v/>
      </c>
      <c r="F47" s="150" t="str">
        <f aca="false">IF(K47="","",INDEX(Itinerary!$E$6:$E$85,$K47)&amp;"")</f>
        <v/>
      </c>
      <c r="G47" s="150" t="str">
        <f aca="false">IF(K47="","",INDEX(Itinerary!$F$6:$F$85,$K47)&amp;"")</f>
        <v/>
      </c>
      <c r="H47" s="150" t="str">
        <f aca="false">IF(K47="","",TRIM(INDEX(Itinerary!$G$6:$G$85,$K47)&amp;" "&amp;INDEX(Itinerary!$L$6:$L$85,$K47)))</f>
        <v/>
      </c>
      <c r="J47" s="60" t="str">
        <f aca="false">IFERROR(SMALL(Itinerary!$M$6:$M$85,43),"")</f>
        <v/>
      </c>
      <c r="K47" s="60" t="str">
        <f aca="false">IF(J47="","",MATCH(J47,Itinerary!$M$6:$M$85,0))</f>
        <v/>
      </c>
    </row>
    <row r="48" customFormat="false" ht="15" hidden="false" customHeight="false" outlineLevel="0" collapsed="false">
      <c r="B48" s="148" t="str">
        <f aca="false">IF(K48="","",IF(AND(K47&lt;&gt;"",INDEX(Itinerary!$J$6:$J$85,K47)=INDEX(Itinerary!$J$6:$J$85,$K48)),"",IF(INDEX(Itinerary!$J$6:$J$85,$K48)=0,"Pre-trip","Day "&amp;INDEX(Itinerary!$J$6:$J$85,$K48)&amp;" · "&amp;TEXT(INDEX(Itinerary!$K$6:$K$85,$K48),"ddd dd mmm"))))</f>
        <v/>
      </c>
      <c r="C48" s="149" t="str">
        <f aca="false">IF(K48="","",IF(INDEX(Itinerary!$B$6:$B$85,$K48)="","",INDEX(Itinerary!$B$6:$B$85,$K48)))</f>
        <v/>
      </c>
      <c r="D48" s="150" t="str">
        <f aca="false">IF(K48="","",INDEX(Itinerary!$C$6:$C$85,$K48)&amp;"")</f>
        <v/>
      </c>
      <c r="E48" s="151" t="str">
        <f aca="false">IF(K48="","",INDEX(Itinerary!$D$6:$D$85,$K48)&amp;"")</f>
        <v/>
      </c>
      <c r="F48" s="150" t="str">
        <f aca="false">IF(K48="","",INDEX(Itinerary!$E$6:$E$85,$K48)&amp;"")</f>
        <v/>
      </c>
      <c r="G48" s="150" t="str">
        <f aca="false">IF(K48="","",INDEX(Itinerary!$F$6:$F$85,$K48)&amp;"")</f>
        <v/>
      </c>
      <c r="H48" s="150" t="str">
        <f aca="false">IF(K48="","",TRIM(INDEX(Itinerary!$G$6:$G$85,$K48)&amp;" "&amp;INDEX(Itinerary!$L$6:$L$85,$K48)))</f>
        <v/>
      </c>
      <c r="J48" s="60" t="str">
        <f aca="false">IFERROR(SMALL(Itinerary!$M$6:$M$85,44),"")</f>
        <v/>
      </c>
      <c r="K48" s="60" t="str">
        <f aca="false">IF(J48="","",MATCH(J48,Itinerary!$M$6:$M$85,0))</f>
        <v/>
      </c>
    </row>
    <row r="49" customFormat="false" ht="15" hidden="false" customHeight="false" outlineLevel="0" collapsed="false">
      <c r="B49" s="148" t="str">
        <f aca="false">IF(K49="","",IF(AND(K48&lt;&gt;"",INDEX(Itinerary!$J$6:$J$85,K48)=INDEX(Itinerary!$J$6:$J$85,$K49)),"",IF(INDEX(Itinerary!$J$6:$J$85,$K49)=0,"Pre-trip","Day "&amp;INDEX(Itinerary!$J$6:$J$85,$K49)&amp;" · "&amp;TEXT(INDEX(Itinerary!$K$6:$K$85,$K49),"ddd dd mmm"))))</f>
        <v/>
      </c>
      <c r="C49" s="149" t="str">
        <f aca="false">IF(K49="","",IF(INDEX(Itinerary!$B$6:$B$85,$K49)="","",INDEX(Itinerary!$B$6:$B$85,$K49)))</f>
        <v/>
      </c>
      <c r="D49" s="150" t="str">
        <f aca="false">IF(K49="","",INDEX(Itinerary!$C$6:$C$85,$K49)&amp;"")</f>
        <v/>
      </c>
      <c r="E49" s="151" t="str">
        <f aca="false">IF(K49="","",INDEX(Itinerary!$D$6:$D$85,$K49)&amp;"")</f>
        <v/>
      </c>
      <c r="F49" s="150" t="str">
        <f aca="false">IF(K49="","",INDEX(Itinerary!$E$6:$E$85,$K49)&amp;"")</f>
        <v/>
      </c>
      <c r="G49" s="150" t="str">
        <f aca="false">IF(K49="","",INDEX(Itinerary!$F$6:$F$85,$K49)&amp;"")</f>
        <v/>
      </c>
      <c r="H49" s="150" t="str">
        <f aca="false">IF(K49="","",TRIM(INDEX(Itinerary!$G$6:$G$85,$K49)&amp;" "&amp;INDEX(Itinerary!$L$6:$L$85,$K49)))</f>
        <v/>
      </c>
      <c r="J49" s="60" t="str">
        <f aca="false">IFERROR(SMALL(Itinerary!$M$6:$M$85,45),"")</f>
        <v/>
      </c>
      <c r="K49" s="60" t="str">
        <f aca="false">IF(J49="","",MATCH(J49,Itinerary!$M$6:$M$85,0))</f>
        <v/>
      </c>
    </row>
    <row r="50" customFormat="false" ht="15" hidden="false" customHeight="false" outlineLevel="0" collapsed="false">
      <c r="B50" s="148" t="str">
        <f aca="false">IF(K50="","",IF(AND(K49&lt;&gt;"",INDEX(Itinerary!$J$6:$J$85,K49)=INDEX(Itinerary!$J$6:$J$85,$K50)),"",IF(INDEX(Itinerary!$J$6:$J$85,$K50)=0,"Pre-trip","Day "&amp;INDEX(Itinerary!$J$6:$J$85,$K50)&amp;" · "&amp;TEXT(INDEX(Itinerary!$K$6:$K$85,$K50),"ddd dd mmm"))))</f>
        <v/>
      </c>
      <c r="C50" s="149" t="str">
        <f aca="false">IF(K50="","",IF(INDEX(Itinerary!$B$6:$B$85,$K50)="","",INDEX(Itinerary!$B$6:$B$85,$K50)))</f>
        <v/>
      </c>
      <c r="D50" s="150" t="str">
        <f aca="false">IF(K50="","",INDEX(Itinerary!$C$6:$C$85,$K50)&amp;"")</f>
        <v/>
      </c>
      <c r="E50" s="151" t="str">
        <f aca="false">IF(K50="","",INDEX(Itinerary!$D$6:$D$85,$K50)&amp;"")</f>
        <v/>
      </c>
      <c r="F50" s="150" t="str">
        <f aca="false">IF(K50="","",INDEX(Itinerary!$E$6:$E$85,$K50)&amp;"")</f>
        <v/>
      </c>
      <c r="G50" s="150" t="str">
        <f aca="false">IF(K50="","",INDEX(Itinerary!$F$6:$F$85,$K50)&amp;"")</f>
        <v/>
      </c>
      <c r="H50" s="150" t="str">
        <f aca="false">IF(K50="","",TRIM(INDEX(Itinerary!$G$6:$G$85,$K50)&amp;" "&amp;INDEX(Itinerary!$L$6:$L$85,$K50)))</f>
        <v/>
      </c>
      <c r="J50" s="60" t="str">
        <f aca="false">IFERROR(SMALL(Itinerary!$M$6:$M$85,46),"")</f>
        <v/>
      </c>
      <c r="K50" s="60" t="str">
        <f aca="false">IF(J50="","",MATCH(J50,Itinerary!$M$6:$M$85,0))</f>
        <v/>
      </c>
    </row>
    <row r="51" customFormat="false" ht="15" hidden="false" customHeight="false" outlineLevel="0" collapsed="false">
      <c r="B51" s="148" t="str">
        <f aca="false">IF(K51="","",IF(AND(K50&lt;&gt;"",INDEX(Itinerary!$J$6:$J$85,K50)=INDEX(Itinerary!$J$6:$J$85,$K51)),"",IF(INDEX(Itinerary!$J$6:$J$85,$K51)=0,"Pre-trip","Day "&amp;INDEX(Itinerary!$J$6:$J$85,$K51)&amp;" · "&amp;TEXT(INDEX(Itinerary!$K$6:$K$85,$K51),"ddd dd mmm"))))</f>
        <v/>
      </c>
      <c r="C51" s="149" t="str">
        <f aca="false">IF(K51="","",IF(INDEX(Itinerary!$B$6:$B$85,$K51)="","",INDEX(Itinerary!$B$6:$B$85,$K51)))</f>
        <v/>
      </c>
      <c r="D51" s="150" t="str">
        <f aca="false">IF(K51="","",INDEX(Itinerary!$C$6:$C$85,$K51)&amp;"")</f>
        <v/>
      </c>
      <c r="E51" s="151" t="str">
        <f aca="false">IF(K51="","",INDEX(Itinerary!$D$6:$D$85,$K51)&amp;"")</f>
        <v/>
      </c>
      <c r="F51" s="150" t="str">
        <f aca="false">IF(K51="","",INDEX(Itinerary!$E$6:$E$85,$K51)&amp;"")</f>
        <v/>
      </c>
      <c r="G51" s="150" t="str">
        <f aca="false">IF(K51="","",INDEX(Itinerary!$F$6:$F$85,$K51)&amp;"")</f>
        <v/>
      </c>
      <c r="H51" s="150" t="str">
        <f aca="false">IF(K51="","",TRIM(INDEX(Itinerary!$G$6:$G$85,$K51)&amp;" "&amp;INDEX(Itinerary!$L$6:$L$85,$K51)))</f>
        <v/>
      </c>
      <c r="J51" s="60" t="str">
        <f aca="false">IFERROR(SMALL(Itinerary!$M$6:$M$85,47),"")</f>
        <v/>
      </c>
      <c r="K51" s="60" t="str">
        <f aca="false">IF(J51="","",MATCH(J51,Itinerary!$M$6:$M$85,0))</f>
        <v/>
      </c>
    </row>
    <row r="52" customFormat="false" ht="15" hidden="false" customHeight="false" outlineLevel="0" collapsed="false">
      <c r="B52" s="148" t="str">
        <f aca="false">IF(K52="","",IF(AND(K51&lt;&gt;"",INDEX(Itinerary!$J$6:$J$85,K51)=INDEX(Itinerary!$J$6:$J$85,$K52)),"",IF(INDEX(Itinerary!$J$6:$J$85,$K52)=0,"Pre-trip","Day "&amp;INDEX(Itinerary!$J$6:$J$85,$K52)&amp;" · "&amp;TEXT(INDEX(Itinerary!$K$6:$K$85,$K52),"ddd dd mmm"))))</f>
        <v/>
      </c>
      <c r="C52" s="149" t="str">
        <f aca="false">IF(K52="","",IF(INDEX(Itinerary!$B$6:$B$85,$K52)="","",INDEX(Itinerary!$B$6:$B$85,$K52)))</f>
        <v/>
      </c>
      <c r="D52" s="150" t="str">
        <f aca="false">IF(K52="","",INDEX(Itinerary!$C$6:$C$85,$K52)&amp;"")</f>
        <v/>
      </c>
      <c r="E52" s="151" t="str">
        <f aca="false">IF(K52="","",INDEX(Itinerary!$D$6:$D$85,$K52)&amp;"")</f>
        <v/>
      </c>
      <c r="F52" s="150" t="str">
        <f aca="false">IF(K52="","",INDEX(Itinerary!$E$6:$E$85,$K52)&amp;"")</f>
        <v/>
      </c>
      <c r="G52" s="150" t="str">
        <f aca="false">IF(K52="","",INDEX(Itinerary!$F$6:$F$85,$K52)&amp;"")</f>
        <v/>
      </c>
      <c r="H52" s="150" t="str">
        <f aca="false">IF(K52="","",TRIM(INDEX(Itinerary!$G$6:$G$85,$K52)&amp;" "&amp;INDEX(Itinerary!$L$6:$L$85,$K52)))</f>
        <v/>
      </c>
      <c r="J52" s="60" t="str">
        <f aca="false">IFERROR(SMALL(Itinerary!$M$6:$M$85,48),"")</f>
        <v/>
      </c>
      <c r="K52" s="60" t="str">
        <f aca="false">IF(J52="","",MATCH(J52,Itinerary!$M$6:$M$85,0))</f>
        <v/>
      </c>
    </row>
    <row r="53" customFormat="false" ht="15" hidden="false" customHeight="false" outlineLevel="0" collapsed="false">
      <c r="B53" s="148" t="str">
        <f aca="false">IF(K53="","",IF(AND(K52&lt;&gt;"",INDEX(Itinerary!$J$6:$J$85,K52)=INDEX(Itinerary!$J$6:$J$85,$K53)),"",IF(INDEX(Itinerary!$J$6:$J$85,$K53)=0,"Pre-trip","Day "&amp;INDEX(Itinerary!$J$6:$J$85,$K53)&amp;" · "&amp;TEXT(INDEX(Itinerary!$K$6:$K$85,$K53),"ddd dd mmm"))))</f>
        <v/>
      </c>
      <c r="C53" s="149" t="str">
        <f aca="false">IF(K53="","",IF(INDEX(Itinerary!$B$6:$B$85,$K53)="","",INDEX(Itinerary!$B$6:$B$85,$K53)))</f>
        <v/>
      </c>
      <c r="D53" s="150" t="str">
        <f aca="false">IF(K53="","",INDEX(Itinerary!$C$6:$C$85,$K53)&amp;"")</f>
        <v/>
      </c>
      <c r="E53" s="151" t="str">
        <f aca="false">IF(K53="","",INDEX(Itinerary!$D$6:$D$85,$K53)&amp;"")</f>
        <v/>
      </c>
      <c r="F53" s="150" t="str">
        <f aca="false">IF(K53="","",INDEX(Itinerary!$E$6:$E$85,$K53)&amp;"")</f>
        <v/>
      </c>
      <c r="G53" s="150" t="str">
        <f aca="false">IF(K53="","",INDEX(Itinerary!$F$6:$F$85,$K53)&amp;"")</f>
        <v/>
      </c>
      <c r="H53" s="150" t="str">
        <f aca="false">IF(K53="","",TRIM(INDEX(Itinerary!$G$6:$G$85,$K53)&amp;" "&amp;INDEX(Itinerary!$L$6:$L$85,$K53)))</f>
        <v/>
      </c>
      <c r="J53" s="60" t="str">
        <f aca="false">IFERROR(SMALL(Itinerary!$M$6:$M$85,49),"")</f>
        <v/>
      </c>
      <c r="K53" s="60" t="str">
        <f aca="false">IF(J53="","",MATCH(J53,Itinerary!$M$6:$M$85,0))</f>
        <v/>
      </c>
    </row>
    <row r="54" customFormat="false" ht="15" hidden="false" customHeight="false" outlineLevel="0" collapsed="false">
      <c r="B54" s="148" t="str">
        <f aca="false">IF(K54="","",IF(AND(K53&lt;&gt;"",INDEX(Itinerary!$J$6:$J$85,K53)=INDEX(Itinerary!$J$6:$J$85,$K54)),"",IF(INDEX(Itinerary!$J$6:$J$85,$K54)=0,"Pre-trip","Day "&amp;INDEX(Itinerary!$J$6:$J$85,$K54)&amp;" · "&amp;TEXT(INDEX(Itinerary!$K$6:$K$85,$K54),"ddd dd mmm"))))</f>
        <v/>
      </c>
      <c r="C54" s="149" t="str">
        <f aca="false">IF(K54="","",IF(INDEX(Itinerary!$B$6:$B$85,$K54)="","",INDEX(Itinerary!$B$6:$B$85,$K54)))</f>
        <v/>
      </c>
      <c r="D54" s="150" t="str">
        <f aca="false">IF(K54="","",INDEX(Itinerary!$C$6:$C$85,$K54)&amp;"")</f>
        <v/>
      </c>
      <c r="E54" s="151" t="str">
        <f aca="false">IF(K54="","",INDEX(Itinerary!$D$6:$D$85,$K54)&amp;"")</f>
        <v/>
      </c>
      <c r="F54" s="150" t="str">
        <f aca="false">IF(K54="","",INDEX(Itinerary!$E$6:$E$85,$K54)&amp;"")</f>
        <v/>
      </c>
      <c r="G54" s="150" t="str">
        <f aca="false">IF(K54="","",INDEX(Itinerary!$F$6:$F$85,$K54)&amp;"")</f>
        <v/>
      </c>
      <c r="H54" s="150" t="str">
        <f aca="false">IF(K54="","",TRIM(INDEX(Itinerary!$G$6:$G$85,$K54)&amp;" "&amp;INDEX(Itinerary!$L$6:$L$85,$K54)))</f>
        <v/>
      </c>
      <c r="J54" s="60" t="str">
        <f aca="false">IFERROR(SMALL(Itinerary!$M$6:$M$85,50),"")</f>
        <v/>
      </c>
      <c r="K54" s="60" t="str">
        <f aca="false">IF(J54="","",MATCH(J54,Itinerary!$M$6:$M$85,0))</f>
        <v/>
      </c>
    </row>
    <row r="55" customFormat="false" ht="15" hidden="false" customHeight="false" outlineLevel="0" collapsed="false">
      <c r="B55" s="148" t="str">
        <f aca="false">IF(K55="","",IF(AND(K54&lt;&gt;"",INDEX(Itinerary!$J$6:$J$85,K54)=INDEX(Itinerary!$J$6:$J$85,$K55)),"",IF(INDEX(Itinerary!$J$6:$J$85,$K55)=0,"Pre-trip","Day "&amp;INDEX(Itinerary!$J$6:$J$85,$K55)&amp;" · "&amp;TEXT(INDEX(Itinerary!$K$6:$K$85,$K55),"ddd dd mmm"))))</f>
        <v/>
      </c>
      <c r="C55" s="149" t="str">
        <f aca="false">IF(K55="","",IF(INDEX(Itinerary!$B$6:$B$85,$K55)="","",INDEX(Itinerary!$B$6:$B$85,$K55)))</f>
        <v/>
      </c>
      <c r="D55" s="150" t="str">
        <f aca="false">IF(K55="","",INDEX(Itinerary!$C$6:$C$85,$K55)&amp;"")</f>
        <v/>
      </c>
      <c r="E55" s="151" t="str">
        <f aca="false">IF(K55="","",INDEX(Itinerary!$D$6:$D$85,$K55)&amp;"")</f>
        <v/>
      </c>
      <c r="F55" s="150" t="str">
        <f aca="false">IF(K55="","",INDEX(Itinerary!$E$6:$E$85,$K55)&amp;"")</f>
        <v/>
      </c>
      <c r="G55" s="150" t="str">
        <f aca="false">IF(K55="","",INDEX(Itinerary!$F$6:$F$85,$K55)&amp;"")</f>
        <v/>
      </c>
      <c r="H55" s="150" t="str">
        <f aca="false">IF(K55="","",TRIM(INDEX(Itinerary!$G$6:$G$85,$K55)&amp;" "&amp;INDEX(Itinerary!$L$6:$L$85,$K55)))</f>
        <v/>
      </c>
      <c r="J55" s="60" t="str">
        <f aca="false">IFERROR(SMALL(Itinerary!$M$6:$M$85,51),"")</f>
        <v/>
      </c>
      <c r="K55" s="60" t="str">
        <f aca="false">IF(J55="","",MATCH(J55,Itinerary!$M$6:$M$85,0))</f>
        <v/>
      </c>
    </row>
    <row r="56" customFormat="false" ht="15" hidden="false" customHeight="false" outlineLevel="0" collapsed="false">
      <c r="B56" s="148" t="str">
        <f aca="false">IF(K56="","",IF(AND(K55&lt;&gt;"",INDEX(Itinerary!$J$6:$J$85,K55)=INDEX(Itinerary!$J$6:$J$85,$K56)),"",IF(INDEX(Itinerary!$J$6:$J$85,$K56)=0,"Pre-trip","Day "&amp;INDEX(Itinerary!$J$6:$J$85,$K56)&amp;" · "&amp;TEXT(INDEX(Itinerary!$K$6:$K$85,$K56),"ddd dd mmm"))))</f>
        <v/>
      </c>
      <c r="C56" s="149" t="str">
        <f aca="false">IF(K56="","",IF(INDEX(Itinerary!$B$6:$B$85,$K56)="","",INDEX(Itinerary!$B$6:$B$85,$K56)))</f>
        <v/>
      </c>
      <c r="D56" s="150" t="str">
        <f aca="false">IF(K56="","",INDEX(Itinerary!$C$6:$C$85,$K56)&amp;"")</f>
        <v/>
      </c>
      <c r="E56" s="151" t="str">
        <f aca="false">IF(K56="","",INDEX(Itinerary!$D$6:$D$85,$K56)&amp;"")</f>
        <v/>
      </c>
      <c r="F56" s="150" t="str">
        <f aca="false">IF(K56="","",INDEX(Itinerary!$E$6:$E$85,$K56)&amp;"")</f>
        <v/>
      </c>
      <c r="G56" s="150" t="str">
        <f aca="false">IF(K56="","",INDEX(Itinerary!$F$6:$F$85,$K56)&amp;"")</f>
        <v/>
      </c>
      <c r="H56" s="150" t="str">
        <f aca="false">IF(K56="","",TRIM(INDEX(Itinerary!$G$6:$G$85,$K56)&amp;" "&amp;INDEX(Itinerary!$L$6:$L$85,$K56)))</f>
        <v/>
      </c>
      <c r="J56" s="60" t="str">
        <f aca="false">IFERROR(SMALL(Itinerary!$M$6:$M$85,52),"")</f>
        <v/>
      </c>
      <c r="K56" s="60" t="str">
        <f aca="false">IF(J56="","",MATCH(J56,Itinerary!$M$6:$M$85,0))</f>
        <v/>
      </c>
    </row>
    <row r="57" customFormat="false" ht="15" hidden="false" customHeight="false" outlineLevel="0" collapsed="false">
      <c r="B57" s="148" t="str">
        <f aca="false">IF(K57="","",IF(AND(K56&lt;&gt;"",INDEX(Itinerary!$J$6:$J$85,K56)=INDEX(Itinerary!$J$6:$J$85,$K57)),"",IF(INDEX(Itinerary!$J$6:$J$85,$K57)=0,"Pre-trip","Day "&amp;INDEX(Itinerary!$J$6:$J$85,$K57)&amp;" · "&amp;TEXT(INDEX(Itinerary!$K$6:$K$85,$K57),"ddd dd mmm"))))</f>
        <v/>
      </c>
      <c r="C57" s="149" t="str">
        <f aca="false">IF(K57="","",IF(INDEX(Itinerary!$B$6:$B$85,$K57)="","",INDEX(Itinerary!$B$6:$B$85,$K57)))</f>
        <v/>
      </c>
      <c r="D57" s="150" t="str">
        <f aca="false">IF(K57="","",INDEX(Itinerary!$C$6:$C$85,$K57)&amp;"")</f>
        <v/>
      </c>
      <c r="E57" s="151" t="str">
        <f aca="false">IF(K57="","",INDEX(Itinerary!$D$6:$D$85,$K57)&amp;"")</f>
        <v/>
      </c>
      <c r="F57" s="150" t="str">
        <f aca="false">IF(K57="","",INDEX(Itinerary!$E$6:$E$85,$K57)&amp;"")</f>
        <v/>
      </c>
      <c r="G57" s="150" t="str">
        <f aca="false">IF(K57="","",INDEX(Itinerary!$F$6:$F$85,$K57)&amp;"")</f>
        <v/>
      </c>
      <c r="H57" s="150" t="str">
        <f aca="false">IF(K57="","",TRIM(INDEX(Itinerary!$G$6:$G$85,$K57)&amp;" "&amp;INDEX(Itinerary!$L$6:$L$85,$K57)))</f>
        <v/>
      </c>
      <c r="J57" s="60" t="str">
        <f aca="false">IFERROR(SMALL(Itinerary!$M$6:$M$85,53),"")</f>
        <v/>
      </c>
      <c r="K57" s="60" t="str">
        <f aca="false">IF(J57="","",MATCH(J57,Itinerary!$M$6:$M$85,0))</f>
        <v/>
      </c>
    </row>
    <row r="58" customFormat="false" ht="15" hidden="false" customHeight="false" outlineLevel="0" collapsed="false">
      <c r="B58" s="148" t="str">
        <f aca="false">IF(K58="","",IF(AND(K57&lt;&gt;"",INDEX(Itinerary!$J$6:$J$85,K57)=INDEX(Itinerary!$J$6:$J$85,$K58)),"",IF(INDEX(Itinerary!$J$6:$J$85,$K58)=0,"Pre-trip","Day "&amp;INDEX(Itinerary!$J$6:$J$85,$K58)&amp;" · "&amp;TEXT(INDEX(Itinerary!$K$6:$K$85,$K58),"ddd dd mmm"))))</f>
        <v/>
      </c>
      <c r="C58" s="149" t="str">
        <f aca="false">IF(K58="","",IF(INDEX(Itinerary!$B$6:$B$85,$K58)="","",INDEX(Itinerary!$B$6:$B$85,$K58)))</f>
        <v/>
      </c>
      <c r="D58" s="150" t="str">
        <f aca="false">IF(K58="","",INDEX(Itinerary!$C$6:$C$85,$K58)&amp;"")</f>
        <v/>
      </c>
      <c r="E58" s="151" t="str">
        <f aca="false">IF(K58="","",INDEX(Itinerary!$D$6:$D$85,$K58)&amp;"")</f>
        <v/>
      </c>
      <c r="F58" s="150" t="str">
        <f aca="false">IF(K58="","",INDEX(Itinerary!$E$6:$E$85,$K58)&amp;"")</f>
        <v/>
      </c>
      <c r="G58" s="150" t="str">
        <f aca="false">IF(K58="","",INDEX(Itinerary!$F$6:$F$85,$K58)&amp;"")</f>
        <v/>
      </c>
      <c r="H58" s="150" t="str">
        <f aca="false">IF(K58="","",TRIM(INDEX(Itinerary!$G$6:$G$85,$K58)&amp;" "&amp;INDEX(Itinerary!$L$6:$L$85,$K58)))</f>
        <v/>
      </c>
      <c r="J58" s="60" t="str">
        <f aca="false">IFERROR(SMALL(Itinerary!$M$6:$M$85,54),"")</f>
        <v/>
      </c>
      <c r="K58" s="60" t="str">
        <f aca="false">IF(J58="","",MATCH(J58,Itinerary!$M$6:$M$85,0))</f>
        <v/>
      </c>
    </row>
    <row r="59" customFormat="false" ht="15" hidden="false" customHeight="false" outlineLevel="0" collapsed="false">
      <c r="B59" s="148" t="str">
        <f aca="false">IF(K59="","",IF(AND(K58&lt;&gt;"",INDEX(Itinerary!$J$6:$J$85,K58)=INDEX(Itinerary!$J$6:$J$85,$K59)),"",IF(INDEX(Itinerary!$J$6:$J$85,$K59)=0,"Pre-trip","Day "&amp;INDEX(Itinerary!$J$6:$J$85,$K59)&amp;" · "&amp;TEXT(INDEX(Itinerary!$K$6:$K$85,$K59),"ddd dd mmm"))))</f>
        <v/>
      </c>
      <c r="C59" s="149" t="str">
        <f aca="false">IF(K59="","",IF(INDEX(Itinerary!$B$6:$B$85,$K59)="","",INDEX(Itinerary!$B$6:$B$85,$K59)))</f>
        <v/>
      </c>
      <c r="D59" s="150" t="str">
        <f aca="false">IF(K59="","",INDEX(Itinerary!$C$6:$C$85,$K59)&amp;"")</f>
        <v/>
      </c>
      <c r="E59" s="151" t="str">
        <f aca="false">IF(K59="","",INDEX(Itinerary!$D$6:$D$85,$K59)&amp;"")</f>
        <v/>
      </c>
      <c r="F59" s="150" t="str">
        <f aca="false">IF(K59="","",INDEX(Itinerary!$E$6:$E$85,$K59)&amp;"")</f>
        <v/>
      </c>
      <c r="G59" s="150" t="str">
        <f aca="false">IF(K59="","",INDEX(Itinerary!$F$6:$F$85,$K59)&amp;"")</f>
        <v/>
      </c>
      <c r="H59" s="150" t="str">
        <f aca="false">IF(K59="","",TRIM(INDEX(Itinerary!$G$6:$G$85,$K59)&amp;" "&amp;INDEX(Itinerary!$L$6:$L$85,$K59)))</f>
        <v/>
      </c>
      <c r="J59" s="60" t="str">
        <f aca="false">IFERROR(SMALL(Itinerary!$M$6:$M$85,55),"")</f>
        <v/>
      </c>
      <c r="K59" s="60" t="str">
        <f aca="false">IF(J59="","",MATCH(J59,Itinerary!$M$6:$M$85,0))</f>
        <v/>
      </c>
    </row>
    <row r="60" customFormat="false" ht="15" hidden="false" customHeight="false" outlineLevel="0" collapsed="false">
      <c r="B60" s="148" t="str">
        <f aca="false">IF(K60="","",IF(AND(K59&lt;&gt;"",INDEX(Itinerary!$J$6:$J$85,K59)=INDEX(Itinerary!$J$6:$J$85,$K60)),"",IF(INDEX(Itinerary!$J$6:$J$85,$K60)=0,"Pre-trip","Day "&amp;INDEX(Itinerary!$J$6:$J$85,$K60)&amp;" · "&amp;TEXT(INDEX(Itinerary!$K$6:$K$85,$K60),"ddd dd mmm"))))</f>
        <v/>
      </c>
      <c r="C60" s="149" t="str">
        <f aca="false">IF(K60="","",IF(INDEX(Itinerary!$B$6:$B$85,$K60)="","",INDEX(Itinerary!$B$6:$B$85,$K60)))</f>
        <v/>
      </c>
      <c r="D60" s="150" t="str">
        <f aca="false">IF(K60="","",INDEX(Itinerary!$C$6:$C$85,$K60)&amp;"")</f>
        <v/>
      </c>
      <c r="E60" s="151" t="str">
        <f aca="false">IF(K60="","",INDEX(Itinerary!$D$6:$D$85,$K60)&amp;"")</f>
        <v/>
      </c>
      <c r="F60" s="150" t="str">
        <f aca="false">IF(K60="","",INDEX(Itinerary!$E$6:$E$85,$K60)&amp;"")</f>
        <v/>
      </c>
      <c r="G60" s="150" t="str">
        <f aca="false">IF(K60="","",INDEX(Itinerary!$F$6:$F$85,$K60)&amp;"")</f>
        <v/>
      </c>
      <c r="H60" s="150" t="str">
        <f aca="false">IF(K60="","",TRIM(INDEX(Itinerary!$G$6:$G$85,$K60)&amp;" "&amp;INDEX(Itinerary!$L$6:$L$85,$K60)))</f>
        <v/>
      </c>
      <c r="J60" s="60" t="str">
        <f aca="false">IFERROR(SMALL(Itinerary!$M$6:$M$85,56),"")</f>
        <v/>
      </c>
      <c r="K60" s="60" t="str">
        <f aca="false">IF(J60="","",MATCH(J60,Itinerary!$M$6:$M$85,0))</f>
        <v/>
      </c>
    </row>
    <row r="61" customFormat="false" ht="15" hidden="false" customHeight="false" outlineLevel="0" collapsed="false">
      <c r="B61" s="148" t="str">
        <f aca="false">IF(K61="","",IF(AND(K60&lt;&gt;"",INDEX(Itinerary!$J$6:$J$85,K60)=INDEX(Itinerary!$J$6:$J$85,$K61)),"",IF(INDEX(Itinerary!$J$6:$J$85,$K61)=0,"Pre-trip","Day "&amp;INDEX(Itinerary!$J$6:$J$85,$K61)&amp;" · "&amp;TEXT(INDEX(Itinerary!$K$6:$K$85,$K61),"ddd dd mmm"))))</f>
        <v/>
      </c>
      <c r="C61" s="149" t="str">
        <f aca="false">IF(K61="","",IF(INDEX(Itinerary!$B$6:$B$85,$K61)="","",INDEX(Itinerary!$B$6:$B$85,$K61)))</f>
        <v/>
      </c>
      <c r="D61" s="150" t="str">
        <f aca="false">IF(K61="","",INDEX(Itinerary!$C$6:$C$85,$K61)&amp;"")</f>
        <v/>
      </c>
      <c r="E61" s="151" t="str">
        <f aca="false">IF(K61="","",INDEX(Itinerary!$D$6:$D$85,$K61)&amp;"")</f>
        <v/>
      </c>
      <c r="F61" s="150" t="str">
        <f aca="false">IF(K61="","",INDEX(Itinerary!$E$6:$E$85,$K61)&amp;"")</f>
        <v/>
      </c>
      <c r="G61" s="150" t="str">
        <f aca="false">IF(K61="","",INDEX(Itinerary!$F$6:$F$85,$K61)&amp;"")</f>
        <v/>
      </c>
      <c r="H61" s="150" t="str">
        <f aca="false">IF(K61="","",TRIM(INDEX(Itinerary!$G$6:$G$85,$K61)&amp;" "&amp;INDEX(Itinerary!$L$6:$L$85,$K61)))</f>
        <v/>
      </c>
      <c r="J61" s="60" t="str">
        <f aca="false">IFERROR(SMALL(Itinerary!$M$6:$M$85,57),"")</f>
        <v/>
      </c>
      <c r="K61" s="60" t="str">
        <f aca="false">IF(J61="","",MATCH(J61,Itinerary!$M$6:$M$85,0))</f>
        <v/>
      </c>
    </row>
    <row r="62" customFormat="false" ht="15" hidden="false" customHeight="false" outlineLevel="0" collapsed="false">
      <c r="B62" s="148" t="str">
        <f aca="false">IF(K62="","",IF(AND(K61&lt;&gt;"",INDEX(Itinerary!$J$6:$J$85,K61)=INDEX(Itinerary!$J$6:$J$85,$K62)),"",IF(INDEX(Itinerary!$J$6:$J$85,$K62)=0,"Pre-trip","Day "&amp;INDEX(Itinerary!$J$6:$J$85,$K62)&amp;" · "&amp;TEXT(INDEX(Itinerary!$K$6:$K$85,$K62),"ddd dd mmm"))))</f>
        <v/>
      </c>
      <c r="C62" s="149" t="str">
        <f aca="false">IF(K62="","",IF(INDEX(Itinerary!$B$6:$B$85,$K62)="","",INDEX(Itinerary!$B$6:$B$85,$K62)))</f>
        <v/>
      </c>
      <c r="D62" s="150" t="str">
        <f aca="false">IF(K62="","",INDEX(Itinerary!$C$6:$C$85,$K62)&amp;"")</f>
        <v/>
      </c>
      <c r="E62" s="151" t="str">
        <f aca="false">IF(K62="","",INDEX(Itinerary!$D$6:$D$85,$K62)&amp;"")</f>
        <v/>
      </c>
      <c r="F62" s="150" t="str">
        <f aca="false">IF(K62="","",INDEX(Itinerary!$E$6:$E$85,$K62)&amp;"")</f>
        <v/>
      </c>
      <c r="G62" s="150" t="str">
        <f aca="false">IF(K62="","",INDEX(Itinerary!$F$6:$F$85,$K62)&amp;"")</f>
        <v/>
      </c>
      <c r="H62" s="150" t="str">
        <f aca="false">IF(K62="","",TRIM(INDEX(Itinerary!$G$6:$G$85,$K62)&amp;" "&amp;INDEX(Itinerary!$L$6:$L$85,$K62)))</f>
        <v/>
      </c>
      <c r="J62" s="60" t="str">
        <f aca="false">IFERROR(SMALL(Itinerary!$M$6:$M$85,58),"")</f>
        <v/>
      </c>
      <c r="K62" s="60" t="str">
        <f aca="false">IF(J62="","",MATCH(J62,Itinerary!$M$6:$M$85,0))</f>
        <v/>
      </c>
    </row>
    <row r="63" customFormat="false" ht="15" hidden="false" customHeight="false" outlineLevel="0" collapsed="false">
      <c r="B63" s="148" t="str">
        <f aca="false">IF(K63="","",IF(AND(K62&lt;&gt;"",INDEX(Itinerary!$J$6:$J$85,K62)=INDEX(Itinerary!$J$6:$J$85,$K63)),"",IF(INDEX(Itinerary!$J$6:$J$85,$K63)=0,"Pre-trip","Day "&amp;INDEX(Itinerary!$J$6:$J$85,$K63)&amp;" · "&amp;TEXT(INDEX(Itinerary!$K$6:$K$85,$K63),"ddd dd mmm"))))</f>
        <v/>
      </c>
      <c r="C63" s="149" t="str">
        <f aca="false">IF(K63="","",IF(INDEX(Itinerary!$B$6:$B$85,$K63)="","",INDEX(Itinerary!$B$6:$B$85,$K63)))</f>
        <v/>
      </c>
      <c r="D63" s="150" t="str">
        <f aca="false">IF(K63="","",INDEX(Itinerary!$C$6:$C$85,$K63)&amp;"")</f>
        <v/>
      </c>
      <c r="E63" s="151" t="str">
        <f aca="false">IF(K63="","",INDEX(Itinerary!$D$6:$D$85,$K63)&amp;"")</f>
        <v/>
      </c>
      <c r="F63" s="150" t="str">
        <f aca="false">IF(K63="","",INDEX(Itinerary!$E$6:$E$85,$K63)&amp;"")</f>
        <v/>
      </c>
      <c r="G63" s="150" t="str">
        <f aca="false">IF(K63="","",INDEX(Itinerary!$F$6:$F$85,$K63)&amp;"")</f>
        <v/>
      </c>
      <c r="H63" s="150" t="str">
        <f aca="false">IF(K63="","",TRIM(INDEX(Itinerary!$G$6:$G$85,$K63)&amp;" "&amp;INDEX(Itinerary!$L$6:$L$85,$K63)))</f>
        <v/>
      </c>
      <c r="J63" s="60" t="str">
        <f aca="false">IFERROR(SMALL(Itinerary!$M$6:$M$85,59),"")</f>
        <v/>
      </c>
      <c r="K63" s="60" t="str">
        <f aca="false">IF(J63="","",MATCH(J63,Itinerary!$M$6:$M$85,0))</f>
        <v/>
      </c>
    </row>
    <row r="64" customFormat="false" ht="15" hidden="false" customHeight="false" outlineLevel="0" collapsed="false">
      <c r="B64" s="148" t="str">
        <f aca="false">IF(K64="","",IF(AND(K63&lt;&gt;"",INDEX(Itinerary!$J$6:$J$85,K63)=INDEX(Itinerary!$J$6:$J$85,$K64)),"",IF(INDEX(Itinerary!$J$6:$J$85,$K64)=0,"Pre-trip","Day "&amp;INDEX(Itinerary!$J$6:$J$85,$K64)&amp;" · "&amp;TEXT(INDEX(Itinerary!$K$6:$K$85,$K64),"ddd dd mmm"))))</f>
        <v/>
      </c>
      <c r="C64" s="149" t="str">
        <f aca="false">IF(K64="","",IF(INDEX(Itinerary!$B$6:$B$85,$K64)="","",INDEX(Itinerary!$B$6:$B$85,$K64)))</f>
        <v/>
      </c>
      <c r="D64" s="150" t="str">
        <f aca="false">IF(K64="","",INDEX(Itinerary!$C$6:$C$85,$K64)&amp;"")</f>
        <v/>
      </c>
      <c r="E64" s="151" t="str">
        <f aca="false">IF(K64="","",INDEX(Itinerary!$D$6:$D$85,$K64)&amp;"")</f>
        <v/>
      </c>
      <c r="F64" s="150" t="str">
        <f aca="false">IF(K64="","",INDEX(Itinerary!$E$6:$E$85,$K64)&amp;"")</f>
        <v/>
      </c>
      <c r="G64" s="150" t="str">
        <f aca="false">IF(K64="","",INDEX(Itinerary!$F$6:$F$85,$K64)&amp;"")</f>
        <v/>
      </c>
      <c r="H64" s="150" t="str">
        <f aca="false">IF(K64="","",TRIM(INDEX(Itinerary!$G$6:$G$85,$K64)&amp;" "&amp;INDEX(Itinerary!$L$6:$L$85,$K64)))</f>
        <v/>
      </c>
      <c r="J64" s="60" t="str">
        <f aca="false">IFERROR(SMALL(Itinerary!$M$6:$M$85,60),"")</f>
        <v/>
      </c>
      <c r="K64" s="60" t="str">
        <f aca="false">IF(J64="","",MATCH(J64,Itinerary!$M$6:$M$85,0))</f>
        <v/>
      </c>
    </row>
    <row r="65" customFormat="false" ht="15" hidden="false" customHeight="false" outlineLevel="0" collapsed="false">
      <c r="B65" s="148" t="str">
        <f aca="false">IF(K65="","",IF(AND(K64&lt;&gt;"",INDEX(Itinerary!$J$6:$J$85,K64)=INDEX(Itinerary!$J$6:$J$85,$K65)),"",IF(INDEX(Itinerary!$J$6:$J$85,$K65)=0,"Pre-trip","Day "&amp;INDEX(Itinerary!$J$6:$J$85,$K65)&amp;" · "&amp;TEXT(INDEX(Itinerary!$K$6:$K$85,$K65),"ddd dd mmm"))))</f>
        <v/>
      </c>
      <c r="C65" s="149" t="str">
        <f aca="false">IF(K65="","",IF(INDEX(Itinerary!$B$6:$B$85,$K65)="","",INDEX(Itinerary!$B$6:$B$85,$K65)))</f>
        <v/>
      </c>
      <c r="D65" s="150" t="str">
        <f aca="false">IF(K65="","",INDEX(Itinerary!$C$6:$C$85,$K65)&amp;"")</f>
        <v/>
      </c>
      <c r="E65" s="151" t="str">
        <f aca="false">IF(K65="","",INDEX(Itinerary!$D$6:$D$85,$K65)&amp;"")</f>
        <v/>
      </c>
      <c r="F65" s="150" t="str">
        <f aca="false">IF(K65="","",INDEX(Itinerary!$E$6:$E$85,$K65)&amp;"")</f>
        <v/>
      </c>
      <c r="G65" s="150" t="str">
        <f aca="false">IF(K65="","",INDEX(Itinerary!$F$6:$F$85,$K65)&amp;"")</f>
        <v/>
      </c>
      <c r="H65" s="150" t="str">
        <f aca="false">IF(K65="","",TRIM(INDEX(Itinerary!$G$6:$G$85,$K65)&amp;" "&amp;INDEX(Itinerary!$L$6:$L$85,$K65)))</f>
        <v/>
      </c>
      <c r="J65" s="60" t="str">
        <f aca="false">IFERROR(SMALL(Itinerary!$M$6:$M$85,61),"")</f>
        <v/>
      </c>
      <c r="K65" s="60" t="str">
        <f aca="false">IF(J65="","",MATCH(J65,Itinerary!$M$6:$M$85,0))</f>
        <v/>
      </c>
    </row>
    <row r="66" customFormat="false" ht="15" hidden="false" customHeight="false" outlineLevel="0" collapsed="false">
      <c r="B66" s="148" t="str">
        <f aca="false">IF(K66="","",IF(AND(K65&lt;&gt;"",INDEX(Itinerary!$J$6:$J$85,K65)=INDEX(Itinerary!$J$6:$J$85,$K66)),"",IF(INDEX(Itinerary!$J$6:$J$85,$K66)=0,"Pre-trip","Day "&amp;INDEX(Itinerary!$J$6:$J$85,$K66)&amp;" · "&amp;TEXT(INDEX(Itinerary!$K$6:$K$85,$K66),"ddd dd mmm"))))</f>
        <v/>
      </c>
      <c r="C66" s="149" t="str">
        <f aca="false">IF(K66="","",IF(INDEX(Itinerary!$B$6:$B$85,$K66)="","",INDEX(Itinerary!$B$6:$B$85,$K66)))</f>
        <v/>
      </c>
      <c r="D66" s="150" t="str">
        <f aca="false">IF(K66="","",INDEX(Itinerary!$C$6:$C$85,$K66)&amp;"")</f>
        <v/>
      </c>
      <c r="E66" s="151" t="str">
        <f aca="false">IF(K66="","",INDEX(Itinerary!$D$6:$D$85,$K66)&amp;"")</f>
        <v/>
      </c>
      <c r="F66" s="150" t="str">
        <f aca="false">IF(K66="","",INDEX(Itinerary!$E$6:$E$85,$K66)&amp;"")</f>
        <v/>
      </c>
      <c r="G66" s="150" t="str">
        <f aca="false">IF(K66="","",INDEX(Itinerary!$F$6:$F$85,$K66)&amp;"")</f>
        <v/>
      </c>
      <c r="H66" s="150" t="str">
        <f aca="false">IF(K66="","",TRIM(INDEX(Itinerary!$G$6:$G$85,$K66)&amp;" "&amp;INDEX(Itinerary!$L$6:$L$85,$K66)))</f>
        <v/>
      </c>
      <c r="J66" s="60" t="str">
        <f aca="false">IFERROR(SMALL(Itinerary!$M$6:$M$85,62),"")</f>
        <v/>
      </c>
      <c r="K66" s="60" t="str">
        <f aca="false">IF(J66="","",MATCH(J66,Itinerary!$M$6:$M$85,0))</f>
        <v/>
      </c>
    </row>
    <row r="67" customFormat="false" ht="15" hidden="false" customHeight="false" outlineLevel="0" collapsed="false">
      <c r="B67" s="148" t="str">
        <f aca="false">IF(K67="","",IF(AND(K66&lt;&gt;"",INDEX(Itinerary!$J$6:$J$85,K66)=INDEX(Itinerary!$J$6:$J$85,$K67)),"",IF(INDEX(Itinerary!$J$6:$J$85,$K67)=0,"Pre-trip","Day "&amp;INDEX(Itinerary!$J$6:$J$85,$K67)&amp;" · "&amp;TEXT(INDEX(Itinerary!$K$6:$K$85,$K67),"ddd dd mmm"))))</f>
        <v/>
      </c>
      <c r="C67" s="149" t="str">
        <f aca="false">IF(K67="","",IF(INDEX(Itinerary!$B$6:$B$85,$K67)="","",INDEX(Itinerary!$B$6:$B$85,$K67)))</f>
        <v/>
      </c>
      <c r="D67" s="150" t="str">
        <f aca="false">IF(K67="","",INDEX(Itinerary!$C$6:$C$85,$K67)&amp;"")</f>
        <v/>
      </c>
      <c r="E67" s="151" t="str">
        <f aca="false">IF(K67="","",INDEX(Itinerary!$D$6:$D$85,$K67)&amp;"")</f>
        <v/>
      </c>
      <c r="F67" s="150" t="str">
        <f aca="false">IF(K67="","",INDEX(Itinerary!$E$6:$E$85,$K67)&amp;"")</f>
        <v/>
      </c>
      <c r="G67" s="150" t="str">
        <f aca="false">IF(K67="","",INDEX(Itinerary!$F$6:$F$85,$K67)&amp;"")</f>
        <v/>
      </c>
      <c r="H67" s="150" t="str">
        <f aca="false">IF(K67="","",TRIM(INDEX(Itinerary!$G$6:$G$85,$K67)&amp;" "&amp;INDEX(Itinerary!$L$6:$L$85,$K67)))</f>
        <v/>
      </c>
      <c r="J67" s="60" t="str">
        <f aca="false">IFERROR(SMALL(Itinerary!$M$6:$M$85,63),"")</f>
        <v/>
      </c>
      <c r="K67" s="60" t="str">
        <f aca="false">IF(J67="","",MATCH(J67,Itinerary!$M$6:$M$85,0))</f>
        <v/>
      </c>
    </row>
    <row r="68" customFormat="false" ht="15" hidden="false" customHeight="false" outlineLevel="0" collapsed="false">
      <c r="B68" s="148" t="str">
        <f aca="false">IF(K68="","",IF(AND(K67&lt;&gt;"",INDEX(Itinerary!$J$6:$J$85,K67)=INDEX(Itinerary!$J$6:$J$85,$K68)),"",IF(INDEX(Itinerary!$J$6:$J$85,$K68)=0,"Pre-trip","Day "&amp;INDEX(Itinerary!$J$6:$J$85,$K68)&amp;" · "&amp;TEXT(INDEX(Itinerary!$K$6:$K$85,$K68),"ddd dd mmm"))))</f>
        <v/>
      </c>
      <c r="C68" s="149" t="str">
        <f aca="false">IF(K68="","",IF(INDEX(Itinerary!$B$6:$B$85,$K68)="","",INDEX(Itinerary!$B$6:$B$85,$K68)))</f>
        <v/>
      </c>
      <c r="D68" s="150" t="str">
        <f aca="false">IF(K68="","",INDEX(Itinerary!$C$6:$C$85,$K68)&amp;"")</f>
        <v/>
      </c>
      <c r="E68" s="151" t="str">
        <f aca="false">IF(K68="","",INDEX(Itinerary!$D$6:$D$85,$K68)&amp;"")</f>
        <v/>
      </c>
      <c r="F68" s="150" t="str">
        <f aca="false">IF(K68="","",INDEX(Itinerary!$E$6:$E$85,$K68)&amp;"")</f>
        <v/>
      </c>
      <c r="G68" s="150" t="str">
        <f aca="false">IF(K68="","",INDEX(Itinerary!$F$6:$F$85,$K68)&amp;"")</f>
        <v/>
      </c>
      <c r="H68" s="150" t="str">
        <f aca="false">IF(K68="","",TRIM(INDEX(Itinerary!$G$6:$G$85,$K68)&amp;" "&amp;INDEX(Itinerary!$L$6:$L$85,$K68)))</f>
        <v/>
      </c>
      <c r="J68" s="60" t="str">
        <f aca="false">IFERROR(SMALL(Itinerary!$M$6:$M$85,64),"")</f>
        <v/>
      </c>
      <c r="K68" s="60" t="str">
        <f aca="false">IF(J68="","",MATCH(J68,Itinerary!$M$6:$M$85,0))</f>
        <v/>
      </c>
    </row>
    <row r="69" customFormat="false" ht="15" hidden="false" customHeight="false" outlineLevel="0" collapsed="false">
      <c r="B69" s="148" t="str">
        <f aca="false">IF(K69="","",IF(AND(K68&lt;&gt;"",INDEX(Itinerary!$J$6:$J$85,K68)=INDEX(Itinerary!$J$6:$J$85,$K69)),"",IF(INDEX(Itinerary!$J$6:$J$85,$K69)=0,"Pre-trip","Day "&amp;INDEX(Itinerary!$J$6:$J$85,$K69)&amp;" · "&amp;TEXT(INDEX(Itinerary!$K$6:$K$85,$K69),"ddd dd mmm"))))</f>
        <v/>
      </c>
      <c r="C69" s="149" t="str">
        <f aca="false">IF(K69="","",IF(INDEX(Itinerary!$B$6:$B$85,$K69)="","",INDEX(Itinerary!$B$6:$B$85,$K69)))</f>
        <v/>
      </c>
      <c r="D69" s="150" t="str">
        <f aca="false">IF(K69="","",INDEX(Itinerary!$C$6:$C$85,$K69)&amp;"")</f>
        <v/>
      </c>
      <c r="E69" s="151" t="str">
        <f aca="false">IF(K69="","",INDEX(Itinerary!$D$6:$D$85,$K69)&amp;"")</f>
        <v/>
      </c>
      <c r="F69" s="150" t="str">
        <f aca="false">IF(K69="","",INDEX(Itinerary!$E$6:$E$85,$K69)&amp;"")</f>
        <v/>
      </c>
      <c r="G69" s="150" t="str">
        <f aca="false">IF(K69="","",INDEX(Itinerary!$F$6:$F$85,$K69)&amp;"")</f>
        <v/>
      </c>
      <c r="H69" s="150" t="str">
        <f aca="false">IF(K69="","",TRIM(INDEX(Itinerary!$G$6:$G$85,$K69)&amp;" "&amp;INDEX(Itinerary!$L$6:$L$85,$K69)))</f>
        <v/>
      </c>
      <c r="J69" s="60" t="str">
        <f aca="false">IFERROR(SMALL(Itinerary!$M$6:$M$85,65),"")</f>
        <v/>
      </c>
      <c r="K69" s="60" t="str">
        <f aca="false">IF(J69="","",MATCH(J69,Itinerary!$M$6:$M$85,0))</f>
        <v/>
      </c>
    </row>
    <row r="70" customFormat="false" ht="15" hidden="false" customHeight="false" outlineLevel="0" collapsed="false">
      <c r="B70" s="148" t="str">
        <f aca="false">IF(K70="","",IF(AND(K69&lt;&gt;"",INDEX(Itinerary!$J$6:$J$85,K69)=INDEX(Itinerary!$J$6:$J$85,$K70)),"",IF(INDEX(Itinerary!$J$6:$J$85,$K70)=0,"Pre-trip","Day "&amp;INDEX(Itinerary!$J$6:$J$85,$K70)&amp;" · "&amp;TEXT(INDEX(Itinerary!$K$6:$K$85,$K70),"ddd dd mmm"))))</f>
        <v/>
      </c>
      <c r="C70" s="149" t="str">
        <f aca="false">IF(K70="","",IF(INDEX(Itinerary!$B$6:$B$85,$K70)="","",INDEX(Itinerary!$B$6:$B$85,$K70)))</f>
        <v/>
      </c>
      <c r="D70" s="150" t="str">
        <f aca="false">IF(K70="","",INDEX(Itinerary!$C$6:$C$85,$K70)&amp;"")</f>
        <v/>
      </c>
      <c r="E70" s="151" t="str">
        <f aca="false">IF(K70="","",INDEX(Itinerary!$D$6:$D$85,$K70)&amp;"")</f>
        <v/>
      </c>
      <c r="F70" s="150" t="str">
        <f aca="false">IF(K70="","",INDEX(Itinerary!$E$6:$E$85,$K70)&amp;"")</f>
        <v/>
      </c>
      <c r="G70" s="150" t="str">
        <f aca="false">IF(K70="","",INDEX(Itinerary!$F$6:$F$85,$K70)&amp;"")</f>
        <v/>
      </c>
      <c r="H70" s="150" t="str">
        <f aca="false">IF(K70="","",TRIM(INDEX(Itinerary!$G$6:$G$85,$K70)&amp;" "&amp;INDEX(Itinerary!$L$6:$L$85,$K70)))</f>
        <v/>
      </c>
      <c r="J70" s="60" t="str">
        <f aca="false">IFERROR(SMALL(Itinerary!$M$6:$M$85,66),"")</f>
        <v/>
      </c>
      <c r="K70" s="60" t="str">
        <f aca="false">IF(J70="","",MATCH(J70,Itinerary!$M$6:$M$85,0))</f>
        <v/>
      </c>
    </row>
    <row r="71" customFormat="false" ht="15" hidden="false" customHeight="false" outlineLevel="0" collapsed="false">
      <c r="B71" s="148" t="str">
        <f aca="false">IF(K71="","",IF(AND(K70&lt;&gt;"",INDEX(Itinerary!$J$6:$J$85,K70)=INDEX(Itinerary!$J$6:$J$85,$K71)),"",IF(INDEX(Itinerary!$J$6:$J$85,$K71)=0,"Pre-trip","Day "&amp;INDEX(Itinerary!$J$6:$J$85,$K71)&amp;" · "&amp;TEXT(INDEX(Itinerary!$K$6:$K$85,$K71),"ddd dd mmm"))))</f>
        <v/>
      </c>
      <c r="C71" s="149" t="str">
        <f aca="false">IF(K71="","",IF(INDEX(Itinerary!$B$6:$B$85,$K71)="","",INDEX(Itinerary!$B$6:$B$85,$K71)))</f>
        <v/>
      </c>
      <c r="D71" s="150" t="str">
        <f aca="false">IF(K71="","",INDEX(Itinerary!$C$6:$C$85,$K71)&amp;"")</f>
        <v/>
      </c>
      <c r="E71" s="151" t="str">
        <f aca="false">IF(K71="","",INDEX(Itinerary!$D$6:$D$85,$K71)&amp;"")</f>
        <v/>
      </c>
      <c r="F71" s="150" t="str">
        <f aca="false">IF(K71="","",INDEX(Itinerary!$E$6:$E$85,$K71)&amp;"")</f>
        <v/>
      </c>
      <c r="G71" s="150" t="str">
        <f aca="false">IF(K71="","",INDEX(Itinerary!$F$6:$F$85,$K71)&amp;"")</f>
        <v/>
      </c>
      <c r="H71" s="150" t="str">
        <f aca="false">IF(K71="","",TRIM(INDEX(Itinerary!$G$6:$G$85,$K71)&amp;" "&amp;INDEX(Itinerary!$L$6:$L$85,$K71)))</f>
        <v/>
      </c>
      <c r="J71" s="60" t="str">
        <f aca="false">IFERROR(SMALL(Itinerary!$M$6:$M$85,67),"")</f>
        <v/>
      </c>
      <c r="K71" s="60" t="str">
        <f aca="false">IF(J71="","",MATCH(J71,Itinerary!$M$6:$M$85,0))</f>
        <v/>
      </c>
    </row>
    <row r="72" customFormat="false" ht="15" hidden="false" customHeight="false" outlineLevel="0" collapsed="false">
      <c r="B72" s="148" t="str">
        <f aca="false">IF(K72="","",IF(AND(K71&lt;&gt;"",INDEX(Itinerary!$J$6:$J$85,K71)=INDEX(Itinerary!$J$6:$J$85,$K72)),"",IF(INDEX(Itinerary!$J$6:$J$85,$K72)=0,"Pre-trip","Day "&amp;INDEX(Itinerary!$J$6:$J$85,$K72)&amp;" · "&amp;TEXT(INDEX(Itinerary!$K$6:$K$85,$K72),"ddd dd mmm"))))</f>
        <v/>
      </c>
      <c r="C72" s="149" t="str">
        <f aca="false">IF(K72="","",IF(INDEX(Itinerary!$B$6:$B$85,$K72)="","",INDEX(Itinerary!$B$6:$B$85,$K72)))</f>
        <v/>
      </c>
      <c r="D72" s="150" t="str">
        <f aca="false">IF(K72="","",INDEX(Itinerary!$C$6:$C$85,$K72)&amp;"")</f>
        <v/>
      </c>
      <c r="E72" s="151" t="str">
        <f aca="false">IF(K72="","",INDEX(Itinerary!$D$6:$D$85,$K72)&amp;"")</f>
        <v/>
      </c>
      <c r="F72" s="150" t="str">
        <f aca="false">IF(K72="","",INDEX(Itinerary!$E$6:$E$85,$K72)&amp;"")</f>
        <v/>
      </c>
      <c r="G72" s="150" t="str">
        <f aca="false">IF(K72="","",INDEX(Itinerary!$F$6:$F$85,$K72)&amp;"")</f>
        <v/>
      </c>
      <c r="H72" s="150" t="str">
        <f aca="false">IF(K72="","",TRIM(INDEX(Itinerary!$G$6:$G$85,$K72)&amp;" "&amp;INDEX(Itinerary!$L$6:$L$85,$K72)))</f>
        <v/>
      </c>
      <c r="J72" s="60" t="str">
        <f aca="false">IFERROR(SMALL(Itinerary!$M$6:$M$85,68),"")</f>
        <v/>
      </c>
      <c r="K72" s="60" t="str">
        <f aca="false">IF(J72="","",MATCH(J72,Itinerary!$M$6:$M$85,0))</f>
        <v/>
      </c>
    </row>
    <row r="73" customFormat="false" ht="15" hidden="false" customHeight="false" outlineLevel="0" collapsed="false">
      <c r="B73" s="148" t="str">
        <f aca="false">IF(K73="","",IF(AND(K72&lt;&gt;"",INDEX(Itinerary!$J$6:$J$85,K72)=INDEX(Itinerary!$J$6:$J$85,$K73)),"",IF(INDEX(Itinerary!$J$6:$J$85,$K73)=0,"Pre-trip","Day "&amp;INDEX(Itinerary!$J$6:$J$85,$K73)&amp;" · "&amp;TEXT(INDEX(Itinerary!$K$6:$K$85,$K73),"ddd dd mmm"))))</f>
        <v/>
      </c>
      <c r="C73" s="149" t="str">
        <f aca="false">IF(K73="","",IF(INDEX(Itinerary!$B$6:$B$85,$K73)="","",INDEX(Itinerary!$B$6:$B$85,$K73)))</f>
        <v/>
      </c>
      <c r="D73" s="150" t="str">
        <f aca="false">IF(K73="","",INDEX(Itinerary!$C$6:$C$85,$K73)&amp;"")</f>
        <v/>
      </c>
      <c r="E73" s="151" t="str">
        <f aca="false">IF(K73="","",INDEX(Itinerary!$D$6:$D$85,$K73)&amp;"")</f>
        <v/>
      </c>
      <c r="F73" s="150" t="str">
        <f aca="false">IF(K73="","",INDEX(Itinerary!$E$6:$E$85,$K73)&amp;"")</f>
        <v/>
      </c>
      <c r="G73" s="150" t="str">
        <f aca="false">IF(K73="","",INDEX(Itinerary!$F$6:$F$85,$K73)&amp;"")</f>
        <v/>
      </c>
      <c r="H73" s="150" t="str">
        <f aca="false">IF(K73="","",TRIM(INDEX(Itinerary!$G$6:$G$85,$K73)&amp;" "&amp;INDEX(Itinerary!$L$6:$L$85,$K73)))</f>
        <v/>
      </c>
      <c r="J73" s="60" t="str">
        <f aca="false">IFERROR(SMALL(Itinerary!$M$6:$M$85,69),"")</f>
        <v/>
      </c>
      <c r="K73" s="60" t="str">
        <f aca="false">IF(J73="","",MATCH(J73,Itinerary!$M$6:$M$85,0))</f>
        <v/>
      </c>
    </row>
    <row r="74" customFormat="false" ht="15" hidden="false" customHeight="false" outlineLevel="0" collapsed="false">
      <c r="B74" s="148" t="str">
        <f aca="false">IF(K74="","",IF(AND(K73&lt;&gt;"",INDEX(Itinerary!$J$6:$J$85,K73)=INDEX(Itinerary!$J$6:$J$85,$K74)),"",IF(INDEX(Itinerary!$J$6:$J$85,$K74)=0,"Pre-trip","Day "&amp;INDEX(Itinerary!$J$6:$J$85,$K74)&amp;" · "&amp;TEXT(INDEX(Itinerary!$K$6:$K$85,$K74),"ddd dd mmm"))))</f>
        <v/>
      </c>
      <c r="C74" s="149" t="str">
        <f aca="false">IF(K74="","",IF(INDEX(Itinerary!$B$6:$B$85,$K74)="","",INDEX(Itinerary!$B$6:$B$85,$K74)))</f>
        <v/>
      </c>
      <c r="D74" s="150" t="str">
        <f aca="false">IF(K74="","",INDEX(Itinerary!$C$6:$C$85,$K74)&amp;"")</f>
        <v/>
      </c>
      <c r="E74" s="151" t="str">
        <f aca="false">IF(K74="","",INDEX(Itinerary!$D$6:$D$85,$K74)&amp;"")</f>
        <v/>
      </c>
      <c r="F74" s="150" t="str">
        <f aca="false">IF(K74="","",INDEX(Itinerary!$E$6:$E$85,$K74)&amp;"")</f>
        <v/>
      </c>
      <c r="G74" s="150" t="str">
        <f aca="false">IF(K74="","",INDEX(Itinerary!$F$6:$F$85,$K74)&amp;"")</f>
        <v/>
      </c>
      <c r="H74" s="150" t="str">
        <f aca="false">IF(K74="","",TRIM(INDEX(Itinerary!$G$6:$G$85,$K74)&amp;" "&amp;INDEX(Itinerary!$L$6:$L$85,$K74)))</f>
        <v/>
      </c>
      <c r="J74" s="60" t="str">
        <f aca="false">IFERROR(SMALL(Itinerary!$M$6:$M$85,70),"")</f>
        <v/>
      </c>
      <c r="K74" s="60" t="str">
        <f aca="false">IF(J74="","",MATCH(J74,Itinerary!$M$6:$M$85,0))</f>
        <v/>
      </c>
    </row>
    <row r="75" customFormat="false" ht="15" hidden="false" customHeight="false" outlineLevel="0" collapsed="false">
      <c r="B75" s="148" t="str">
        <f aca="false">IF(K75="","",IF(AND(K74&lt;&gt;"",INDEX(Itinerary!$J$6:$J$85,K74)=INDEX(Itinerary!$J$6:$J$85,$K75)),"",IF(INDEX(Itinerary!$J$6:$J$85,$K75)=0,"Pre-trip","Day "&amp;INDEX(Itinerary!$J$6:$J$85,$K75)&amp;" · "&amp;TEXT(INDEX(Itinerary!$K$6:$K$85,$K75),"ddd dd mmm"))))</f>
        <v/>
      </c>
      <c r="C75" s="149" t="str">
        <f aca="false">IF(K75="","",IF(INDEX(Itinerary!$B$6:$B$85,$K75)="","",INDEX(Itinerary!$B$6:$B$85,$K75)))</f>
        <v/>
      </c>
      <c r="D75" s="150" t="str">
        <f aca="false">IF(K75="","",INDEX(Itinerary!$C$6:$C$85,$K75)&amp;"")</f>
        <v/>
      </c>
      <c r="E75" s="151" t="str">
        <f aca="false">IF(K75="","",INDEX(Itinerary!$D$6:$D$85,$K75)&amp;"")</f>
        <v/>
      </c>
      <c r="F75" s="150" t="str">
        <f aca="false">IF(K75="","",INDEX(Itinerary!$E$6:$E$85,$K75)&amp;"")</f>
        <v/>
      </c>
      <c r="G75" s="150" t="str">
        <f aca="false">IF(K75="","",INDEX(Itinerary!$F$6:$F$85,$K75)&amp;"")</f>
        <v/>
      </c>
      <c r="H75" s="150" t="str">
        <f aca="false">IF(K75="","",TRIM(INDEX(Itinerary!$G$6:$G$85,$K75)&amp;" "&amp;INDEX(Itinerary!$L$6:$L$85,$K75)))</f>
        <v/>
      </c>
      <c r="J75" s="60" t="str">
        <f aca="false">IFERROR(SMALL(Itinerary!$M$6:$M$85,71),"")</f>
        <v/>
      </c>
      <c r="K75" s="60" t="str">
        <f aca="false">IF(J75="","",MATCH(J75,Itinerary!$M$6:$M$85,0))</f>
        <v/>
      </c>
    </row>
    <row r="76" customFormat="false" ht="15" hidden="false" customHeight="false" outlineLevel="0" collapsed="false">
      <c r="B76" s="148" t="str">
        <f aca="false">IF(K76="","",IF(AND(K75&lt;&gt;"",INDEX(Itinerary!$J$6:$J$85,K75)=INDEX(Itinerary!$J$6:$J$85,$K76)),"",IF(INDEX(Itinerary!$J$6:$J$85,$K76)=0,"Pre-trip","Day "&amp;INDEX(Itinerary!$J$6:$J$85,$K76)&amp;" · "&amp;TEXT(INDEX(Itinerary!$K$6:$K$85,$K76),"ddd dd mmm"))))</f>
        <v/>
      </c>
      <c r="C76" s="149" t="str">
        <f aca="false">IF(K76="","",IF(INDEX(Itinerary!$B$6:$B$85,$K76)="","",INDEX(Itinerary!$B$6:$B$85,$K76)))</f>
        <v/>
      </c>
      <c r="D76" s="150" t="str">
        <f aca="false">IF(K76="","",INDEX(Itinerary!$C$6:$C$85,$K76)&amp;"")</f>
        <v/>
      </c>
      <c r="E76" s="151" t="str">
        <f aca="false">IF(K76="","",INDEX(Itinerary!$D$6:$D$85,$K76)&amp;"")</f>
        <v/>
      </c>
      <c r="F76" s="150" t="str">
        <f aca="false">IF(K76="","",INDEX(Itinerary!$E$6:$E$85,$K76)&amp;"")</f>
        <v/>
      </c>
      <c r="G76" s="150" t="str">
        <f aca="false">IF(K76="","",INDEX(Itinerary!$F$6:$F$85,$K76)&amp;"")</f>
        <v/>
      </c>
      <c r="H76" s="150" t="str">
        <f aca="false">IF(K76="","",TRIM(INDEX(Itinerary!$G$6:$G$85,$K76)&amp;" "&amp;INDEX(Itinerary!$L$6:$L$85,$K76)))</f>
        <v/>
      </c>
      <c r="J76" s="60" t="str">
        <f aca="false">IFERROR(SMALL(Itinerary!$M$6:$M$85,72),"")</f>
        <v/>
      </c>
      <c r="K76" s="60" t="str">
        <f aca="false">IF(J76="","",MATCH(J76,Itinerary!$M$6:$M$85,0))</f>
        <v/>
      </c>
    </row>
    <row r="77" customFormat="false" ht="15" hidden="false" customHeight="false" outlineLevel="0" collapsed="false">
      <c r="B77" s="148" t="str">
        <f aca="false">IF(K77="","",IF(AND(K76&lt;&gt;"",INDEX(Itinerary!$J$6:$J$85,K76)=INDEX(Itinerary!$J$6:$J$85,$K77)),"",IF(INDEX(Itinerary!$J$6:$J$85,$K77)=0,"Pre-trip","Day "&amp;INDEX(Itinerary!$J$6:$J$85,$K77)&amp;" · "&amp;TEXT(INDEX(Itinerary!$K$6:$K$85,$K77),"ddd dd mmm"))))</f>
        <v/>
      </c>
      <c r="C77" s="149" t="str">
        <f aca="false">IF(K77="","",IF(INDEX(Itinerary!$B$6:$B$85,$K77)="","",INDEX(Itinerary!$B$6:$B$85,$K77)))</f>
        <v/>
      </c>
      <c r="D77" s="150" t="str">
        <f aca="false">IF(K77="","",INDEX(Itinerary!$C$6:$C$85,$K77)&amp;"")</f>
        <v/>
      </c>
      <c r="E77" s="151" t="str">
        <f aca="false">IF(K77="","",INDEX(Itinerary!$D$6:$D$85,$K77)&amp;"")</f>
        <v/>
      </c>
      <c r="F77" s="150" t="str">
        <f aca="false">IF(K77="","",INDEX(Itinerary!$E$6:$E$85,$K77)&amp;"")</f>
        <v/>
      </c>
      <c r="G77" s="150" t="str">
        <f aca="false">IF(K77="","",INDEX(Itinerary!$F$6:$F$85,$K77)&amp;"")</f>
        <v/>
      </c>
      <c r="H77" s="150" t="str">
        <f aca="false">IF(K77="","",TRIM(INDEX(Itinerary!$G$6:$G$85,$K77)&amp;" "&amp;INDEX(Itinerary!$L$6:$L$85,$K77)))</f>
        <v/>
      </c>
      <c r="J77" s="60" t="str">
        <f aca="false">IFERROR(SMALL(Itinerary!$M$6:$M$85,73),"")</f>
        <v/>
      </c>
      <c r="K77" s="60" t="str">
        <f aca="false">IF(J77="","",MATCH(J77,Itinerary!$M$6:$M$85,0))</f>
        <v/>
      </c>
    </row>
    <row r="78" customFormat="false" ht="15" hidden="false" customHeight="false" outlineLevel="0" collapsed="false">
      <c r="B78" s="148" t="str">
        <f aca="false">IF(K78="","",IF(AND(K77&lt;&gt;"",INDEX(Itinerary!$J$6:$J$85,K77)=INDEX(Itinerary!$J$6:$J$85,$K78)),"",IF(INDEX(Itinerary!$J$6:$J$85,$K78)=0,"Pre-trip","Day "&amp;INDEX(Itinerary!$J$6:$J$85,$K78)&amp;" · "&amp;TEXT(INDEX(Itinerary!$K$6:$K$85,$K78),"ddd dd mmm"))))</f>
        <v/>
      </c>
      <c r="C78" s="149" t="str">
        <f aca="false">IF(K78="","",IF(INDEX(Itinerary!$B$6:$B$85,$K78)="","",INDEX(Itinerary!$B$6:$B$85,$K78)))</f>
        <v/>
      </c>
      <c r="D78" s="150" t="str">
        <f aca="false">IF(K78="","",INDEX(Itinerary!$C$6:$C$85,$K78)&amp;"")</f>
        <v/>
      </c>
      <c r="E78" s="151" t="str">
        <f aca="false">IF(K78="","",INDEX(Itinerary!$D$6:$D$85,$K78)&amp;"")</f>
        <v/>
      </c>
      <c r="F78" s="150" t="str">
        <f aca="false">IF(K78="","",INDEX(Itinerary!$E$6:$E$85,$K78)&amp;"")</f>
        <v/>
      </c>
      <c r="G78" s="150" t="str">
        <f aca="false">IF(K78="","",INDEX(Itinerary!$F$6:$F$85,$K78)&amp;"")</f>
        <v/>
      </c>
      <c r="H78" s="150" t="str">
        <f aca="false">IF(K78="","",TRIM(INDEX(Itinerary!$G$6:$G$85,$K78)&amp;" "&amp;INDEX(Itinerary!$L$6:$L$85,$K78)))</f>
        <v/>
      </c>
      <c r="J78" s="60" t="str">
        <f aca="false">IFERROR(SMALL(Itinerary!$M$6:$M$85,74),"")</f>
        <v/>
      </c>
      <c r="K78" s="60" t="str">
        <f aca="false">IF(J78="","",MATCH(J78,Itinerary!$M$6:$M$85,0))</f>
        <v/>
      </c>
    </row>
    <row r="79" customFormat="false" ht="15" hidden="false" customHeight="false" outlineLevel="0" collapsed="false">
      <c r="B79" s="148" t="str">
        <f aca="false">IF(K79="","",IF(AND(K78&lt;&gt;"",INDEX(Itinerary!$J$6:$J$85,K78)=INDEX(Itinerary!$J$6:$J$85,$K79)),"",IF(INDEX(Itinerary!$J$6:$J$85,$K79)=0,"Pre-trip","Day "&amp;INDEX(Itinerary!$J$6:$J$85,$K79)&amp;" · "&amp;TEXT(INDEX(Itinerary!$K$6:$K$85,$K79),"ddd dd mmm"))))</f>
        <v/>
      </c>
      <c r="C79" s="149" t="str">
        <f aca="false">IF(K79="","",IF(INDEX(Itinerary!$B$6:$B$85,$K79)="","",INDEX(Itinerary!$B$6:$B$85,$K79)))</f>
        <v/>
      </c>
      <c r="D79" s="150" t="str">
        <f aca="false">IF(K79="","",INDEX(Itinerary!$C$6:$C$85,$K79)&amp;"")</f>
        <v/>
      </c>
      <c r="E79" s="151" t="str">
        <f aca="false">IF(K79="","",INDEX(Itinerary!$D$6:$D$85,$K79)&amp;"")</f>
        <v/>
      </c>
      <c r="F79" s="150" t="str">
        <f aca="false">IF(K79="","",INDEX(Itinerary!$E$6:$E$85,$K79)&amp;"")</f>
        <v/>
      </c>
      <c r="G79" s="150" t="str">
        <f aca="false">IF(K79="","",INDEX(Itinerary!$F$6:$F$85,$K79)&amp;"")</f>
        <v/>
      </c>
      <c r="H79" s="150" t="str">
        <f aca="false">IF(K79="","",TRIM(INDEX(Itinerary!$G$6:$G$85,$K79)&amp;" "&amp;INDEX(Itinerary!$L$6:$L$85,$K79)))</f>
        <v/>
      </c>
      <c r="J79" s="60" t="str">
        <f aca="false">IFERROR(SMALL(Itinerary!$M$6:$M$85,75),"")</f>
        <v/>
      </c>
      <c r="K79" s="60" t="str">
        <f aca="false">IF(J79="","",MATCH(J79,Itinerary!$M$6:$M$85,0))</f>
        <v/>
      </c>
    </row>
    <row r="80" customFormat="false" ht="15" hidden="false" customHeight="false" outlineLevel="0" collapsed="false">
      <c r="B80" s="148" t="str">
        <f aca="false">IF(K80="","",IF(AND(K79&lt;&gt;"",INDEX(Itinerary!$J$6:$J$85,K79)=INDEX(Itinerary!$J$6:$J$85,$K80)),"",IF(INDEX(Itinerary!$J$6:$J$85,$K80)=0,"Pre-trip","Day "&amp;INDEX(Itinerary!$J$6:$J$85,$K80)&amp;" · "&amp;TEXT(INDEX(Itinerary!$K$6:$K$85,$K80),"ddd dd mmm"))))</f>
        <v/>
      </c>
      <c r="C80" s="149" t="str">
        <f aca="false">IF(K80="","",IF(INDEX(Itinerary!$B$6:$B$85,$K80)="","",INDEX(Itinerary!$B$6:$B$85,$K80)))</f>
        <v/>
      </c>
      <c r="D80" s="150" t="str">
        <f aca="false">IF(K80="","",INDEX(Itinerary!$C$6:$C$85,$K80)&amp;"")</f>
        <v/>
      </c>
      <c r="E80" s="151" t="str">
        <f aca="false">IF(K80="","",INDEX(Itinerary!$D$6:$D$85,$K80)&amp;"")</f>
        <v/>
      </c>
      <c r="F80" s="150" t="str">
        <f aca="false">IF(K80="","",INDEX(Itinerary!$E$6:$E$85,$K80)&amp;"")</f>
        <v/>
      </c>
      <c r="G80" s="150" t="str">
        <f aca="false">IF(K80="","",INDEX(Itinerary!$F$6:$F$85,$K80)&amp;"")</f>
        <v/>
      </c>
      <c r="H80" s="150" t="str">
        <f aca="false">IF(K80="","",TRIM(INDEX(Itinerary!$G$6:$G$85,$K80)&amp;" "&amp;INDEX(Itinerary!$L$6:$L$85,$K80)))</f>
        <v/>
      </c>
      <c r="J80" s="60" t="str">
        <f aca="false">IFERROR(SMALL(Itinerary!$M$6:$M$85,76),"")</f>
        <v/>
      </c>
      <c r="K80" s="60" t="str">
        <f aca="false">IF(J80="","",MATCH(J80,Itinerary!$M$6:$M$85,0))</f>
        <v/>
      </c>
    </row>
    <row r="81" customFormat="false" ht="15" hidden="false" customHeight="false" outlineLevel="0" collapsed="false">
      <c r="B81" s="148" t="str">
        <f aca="false">IF(K81="","",IF(AND(K80&lt;&gt;"",INDEX(Itinerary!$J$6:$J$85,K80)=INDEX(Itinerary!$J$6:$J$85,$K81)),"",IF(INDEX(Itinerary!$J$6:$J$85,$K81)=0,"Pre-trip","Day "&amp;INDEX(Itinerary!$J$6:$J$85,$K81)&amp;" · "&amp;TEXT(INDEX(Itinerary!$K$6:$K$85,$K81),"ddd dd mmm"))))</f>
        <v/>
      </c>
      <c r="C81" s="149" t="str">
        <f aca="false">IF(K81="","",IF(INDEX(Itinerary!$B$6:$B$85,$K81)="","",INDEX(Itinerary!$B$6:$B$85,$K81)))</f>
        <v/>
      </c>
      <c r="D81" s="150" t="str">
        <f aca="false">IF(K81="","",INDEX(Itinerary!$C$6:$C$85,$K81)&amp;"")</f>
        <v/>
      </c>
      <c r="E81" s="151" t="str">
        <f aca="false">IF(K81="","",INDEX(Itinerary!$D$6:$D$85,$K81)&amp;"")</f>
        <v/>
      </c>
      <c r="F81" s="150" t="str">
        <f aca="false">IF(K81="","",INDEX(Itinerary!$E$6:$E$85,$K81)&amp;"")</f>
        <v/>
      </c>
      <c r="G81" s="150" t="str">
        <f aca="false">IF(K81="","",INDEX(Itinerary!$F$6:$F$85,$K81)&amp;"")</f>
        <v/>
      </c>
      <c r="H81" s="150" t="str">
        <f aca="false">IF(K81="","",TRIM(INDEX(Itinerary!$G$6:$G$85,$K81)&amp;" "&amp;INDEX(Itinerary!$L$6:$L$85,$K81)))</f>
        <v/>
      </c>
      <c r="J81" s="60" t="str">
        <f aca="false">IFERROR(SMALL(Itinerary!$M$6:$M$85,77),"")</f>
        <v/>
      </c>
      <c r="K81" s="60" t="str">
        <f aca="false">IF(J81="","",MATCH(J81,Itinerary!$M$6:$M$85,0))</f>
        <v/>
      </c>
    </row>
    <row r="82" customFormat="false" ht="15" hidden="false" customHeight="false" outlineLevel="0" collapsed="false">
      <c r="B82" s="148" t="str">
        <f aca="false">IF(K82="","",IF(AND(K81&lt;&gt;"",INDEX(Itinerary!$J$6:$J$85,K81)=INDEX(Itinerary!$J$6:$J$85,$K82)),"",IF(INDEX(Itinerary!$J$6:$J$85,$K82)=0,"Pre-trip","Day "&amp;INDEX(Itinerary!$J$6:$J$85,$K82)&amp;" · "&amp;TEXT(INDEX(Itinerary!$K$6:$K$85,$K82),"ddd dd mmm"))))</f>
        <v/>
      </c>
      <c r="C82" s="149" t="str">
        <f aca="false">IF(K82="","",IF(INDEX(Itinerary!$B$6:$B$85,$K82)="","",INDEX(Itinerary!$B$6:$B$85,$K82)))</f>
        <v/>
      </c>
      <c r="D82" s="150" t="str">
        <f aca="false">IF(K82="","",INDEX(Itinerary!$C$6:$C$85,$K82)&amp;"")</f>
        <v/>
      </c>
      <c r="E82" s="151" t="str">
        <f aca="false">IF(K82="","",INDEX(Itinerary!$D$6:$D$85,$K82)&amp;"")</f>
        <v/>
      </c>
      <c r="F82" s="150" t="str">
        <f aca="false">IF(K82="","",INDEX(Itinerary!$E$6:$E$85,$K82)&amp;"")</f>
        <v/>
      </c>
      <c r="G82" s="150" t="str">
        <f aca="false">IF(K82="","",INDEX(Itinerary!$F$6:$F$85,$K82)&amp;"")</f>
        <v/>
      </c>
      <c r="H82" s="150" t="str">
        <f aca="false">IF(K82="","",TRIM(INDEX(Itinerary!$G$6:$G$85,$K82)&amp;" "&amp;INDEX(Itinerary!$L$6:$L$85,$K82)))</f>
        <v/>
      </c>
      <c r="J82" s="60" t="str">
        <f aca="false">IFERROR(SMALL(Itinerary!$M$6:$M$85,78),"")</f>
        <v/>
      </c>
      <c r="K82" s="60" t="str">
        <f aca="false">IF(J82="","",MATCH(J82,Itinerary!$M$6:$M$85,0))</f>
        <v/>
      </c>
    </row>
    <row r="83" customFormat="false" ht="15" hidden="false" customHeight="false" outlineLevel="0" collapsed="false">
      <c r="B83" s="148" t="str">
        <f aca="false">IF(K83="","",IF(AND(K82&lt;&gt;"",INDEX(Itinerary!$J$6:$J$85,K82)=INDEX(Itinerary!$J$6:$J$85,$K83)),"",IF(INDEX(Itinerary!$J$6:$J$85,$K83)=0,"Pre-trip","Day "&amp;INDEX(Itinerary!$J$6:$J$85,$K83)&amp;" · "&amp;TEXT(INDEX(Itinerary!$K$6:$K$85,$K83),"ddd dd mmm"))))</f>
        <v/>
      </c>
      <c r="C83" s="149" t="str">
        <f aca="false">IF(K83="","",IF(INDEX(Itinerary!$B$6:$B$85,$K83)="","",INDEX(Itinerary!$B$6:$B$85,$K83)))</f>
        <v/>
      </c>
      <c r="D83" s="150" t="str">
        <f aca="false">IF(K83="","",INDEX(Itinerary!$C$6:$C$85,$K83)&amp;"")</f>
        <v/>
      </c>
      <c r="E83" s="151" t="str">
        <f aca="false">IF(K83="","",INDEX(Itinerary!$D$6:$D$85,$K83)&amp;"")</f>
        <v/>
      </c>
      <c r="F83" s="150" t="str">
        <f aca="false">IF(K83="","",INDEX(Itinerary!$E$6:$E$85,$K83)&amp;"")</f>
        <v/>
      </c>
      <c r="G83" s="150" t="str">
        <f aca="false">IF(K83="","",INDEX(Itinerary!$F$6:$F$85,$K83)&amp;"")</f>
        <v/>
      </c>
      <c r="H83" s="150" t="str">
        <f aca="false">IF(K83="","",TRIM(INDEX(Itinerary!$G$6:$G$85,$K83)&amp;" "&amp;INDEX(Itinerary!$L$6:$L$85,$K83)))</f>
        <v/>
      </c>
      <c r="J83" s="60" t="str">
        <f aca="false">IFERROR(SMALL(Itinerary!$M$6:$M$85,79),"")</f>
        <v/>
      </c>
      <c r="K83" s="60" t="str">
        <f aca="false">IF(J83="","",MATCH(J83,Itinerary!$M$6:$M$85,0))</f>
        <v/>
      </c>
    </row>
    <row r="84" customFormat="false" ht="15" hidden="false" customHeight="false" outlineLevel="0" collapsed="false">
      <c r="B84" s="148" t="str">
        <f aca="false">IF(K84="","",IF(AND(K83&lt;&gt;"",INDEX(Itinerary!$J$6:$J$85,K83)=INDEX(Itinerary!$J$6:$J$85,$K84)),"",IF(INDEX(Itinerary!$J$6:$J$85,$K84)=0,"Pre-trip","Day "&amp;INDEX(Itinerary!$J$6:$J$85,$K84)&amp;" · "&amp;TEXT(INDEX(Itinerary!$K$6:$K$85,$K84),"ddd dd mmm"))))</f>
        <v/>
      </c>
      <c r="C84" s="149" t="str">
        <f aca="false">IF(K84="","",IF(INDEX(Itinerary!$B$6:$B$85,$K84)="","",INDEX(Itinerary!$B$6:$B$85,$K84)))</f>
        <v/>
      </c>
      <c r="D84" s="150" t="str">
        <f aca="false">IF(K84="","",INDEX(Itinerary!$C$6:$C$85,$K84)&amp;"")</f>
        <v/>
      </c>
      <c r="E84" s="151" t="str">
        <f aca="false">IF(K84="","",INDEX(Itinerary!$D$6:$D$85,$K84)&amp;"")</f>
        <v/>
      </c>
      <c r="F84" s="150" t="str">
        <f aca="false">IF(K84="","",INDEX(Itinerary!$E$6:$E$85,$K84)&amp;"")</f>
        <v/>
      </c>
      <c r="G84" s="150" t="str">
        <f aca="false">IF(K84="","",INDEX(Itinerary!$F$6:$F$85,$K84)&amp;"")</f>
        <v/>
      </c>
      <c r="H84" s="150" t="str">
        <f aca="false">IF(K84="","",TRIM(INDEX(Itinerary!$G$6:$G$85,$K84)&amp;" "&amp;INDEX(Itinerary!$L$6:$L$85,$K84)))</f>
        <v/>
      </c>
      <c r="J84" s="60" t="str">
        <f aca="false">IFERROR(SMALL(Itinerary!$M$6:$M$85,80),"")</f>
        <v/>
      </c>
      <c r="K84" s="60" t="str">
        <f aca="false">IF(J84="","",MATCH(J84,Itinerary!$M$6:$M$85,0))</f>
        <v/>
      </c>
    </row>
  </sheetData>
  <sheetProtection sheet="true" password="ecf5" formatRows="false"/>
  <mergeCells count="2">
    <mergeCell ref="B1:H1"/>
    <mergeCell ref="B2:H2"/>
  </mergeCells>
  <conditionalFormatting sqref="B5:H84">
    <cfRule type="expression" priority="2" aboveAverage="0" equalAverage="0" bottom="0" percent="0" rank="0" text="" dxfId="14">
      <formula>$B5&lt;&gt;""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3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3" min="3" style="0" width="30"/>
    <col collapsed="false" customWidth="true" hidden="false" outlineLevel="0" max="4" min="4" style="0" width="22"/>
    <col collapsed="false" customWidth="true" hidden="false" outlineLevel="0" max="5" min="5" style="0" width="20"/>
    <col collapsed="false" customWidth="true" hidden="false" outlineLevel="0" max="6" min="6" style="0" width="44"/>
    <col collapsed="false" customWidth="true" hidden="false" outlineLevel="0" max="7" min="7" style="0" width="10"/>
  </cols>
  <sheetData>
    <row r="1" customFormat="false" ht="33.75" hidden="false" customHeight="true" outlineLevel="0" collapsed="false">
      <c r="A1" s="16" t="s">
        <v>58</v>
      </c>
      <c r="B1" s="17" t="s">
        <v>277</v>
      </c>
    </row>
    <row r="2" customFormat="false" ht="15" hidden="false" customHeight="false" outlineLevel="0" collapsed="false">
      <c r="B2" s="18" t="s">
        <v>278</v>
      </c>
    </row>
    <row r="4" customFormat="false" ht="30" hidden="false" customHeight="true" outlineLevel="0" collapsed="false">
      <c r="B4" s="115" t="s">
        <v>279</v>
      </c>
      <c r="C4" s="115" t="s">
        <v>280</v>
      </c>
      <c r="D4" s="115" t="s">
        <v>281</v>
      </c>
      <c r="E4" s="115" t="s">
        <v>282</v>
      </c>
      <c r="F4" s="115" t="s">
        <v>283</v>
      </c>
      <c r="G4" s="115" t="s">
        <v>284</v>
      </c>
    </row>
    <row r="5" customFormat="false" ht="30" hidden="false" customHeight="true" outlineLevel="0" collapsed="false">
      <c r="B5" s="152" t="s">
        <v>285</v>
      </c>
      <c r="C5" s="153" t="s">
        <v>286</v>
      </c>
      <c r="D5" s="154" t="s">
        <v>287</v>
      </c>
      <c r="E5" s="153" t="s">
        <v>288</v>
      </c>
      <c r="F5" s="153" t="s">
        <v>289</v>
      </c>
      <c r="G5" s="155" t="s">
        <v>290</v>
      </c>
    </row>
    <row r="6" customFormat="false" ht="30" hidden="false" customHeight="true" outlineLevel="0" collapsed="false">
      <c r="B6" s="152" t="s">
        <v>291</v>
      </c>
      <c r="C6" s="153" t="s">
        <v>292</v>
      </c>
      <c r="D6" s="154" t="s">
        <v>293</v>
      </c>
      <c r="E6" s="153" t="s">
        <v>294</v>
      </c>
      <c r="F6" s="153" t="s">
        <v>295</v>
      </c>
      <c r="G6" s="155" t="s">
        <v>290</v>
      </c>
    </row>
    <row r="7" customFormat="false" ht="30" hidden="false" customHeight="true" outlineLevel="0" collapsed="false">
      <c r="B7" s="152" t="s">
        <v>296</v>
      </c>
      <c r="C7" s="153" t="s">
        <v>297</v>
      </c>
      <c r="D7" s="154" t="s">
        <v>298</v>
      </c>
      <c r="E7" s="153" t="s">
        <v>294</v>
      </c>
      <c r="F7" s="153" t="s">
        <v>299</v>
      </c>
      <c r="G7" s="155" t="s">
        <v>290</v>
      </c>
    </row>
    <row r="8" customFormat="false" ht="30" hidden="false" customHeight="true" outlineLevel="0" collapsed="false">
      <c r="B8" s="152" t="s">
        <v>300</v>
      </c>
      <c r="C8" s="153" t="s">
        <v>301</v>
      </c>
      <c r="D8" s="154" t="s">
        <v>302</v>
      </c>
      <c r="E8" s="153" t="s">
        <v>303</v>
      </c>
      <c r="F8" s="153" t="s">
        <v>304</v>
      </c>
      <c r="G8" s="155" t="s">
        <v>290</v>
      </c>
    </row>
    <row r="9" customFormat="false" ht="30" hidden="false" customHeight="true" outlineLevel="0" collapsed="false">
      <c r="B9" s="152" t="s">
        <v>305</v>
      </c>
      <c r="C9" s="153" t="s">
        <v>306</v>
      </c>
      <c r="D9" s="154" t="s">
        <v>307</v>
      </c>
      <c r="E9" s="153" t="s">
        <v>294</v>
      </c>
      <c r="F9" s="153" t="s">
        <v>308</v>
      </c>
      <c r="G9" s="155" t="s">
        <v>290</v>
      </c>
    </row>
    <row r="10" customFormat="false" ht="30" hidden="false" customHeight="true" outlineLevel="0" collapsed="false">
      <c r="B10" s="152" t="s">
        <v>309</v>
      </c>
      <c r="C10" s="153" t="s">
        <v>310</v>
      </c>
      <c r="D10" s="154" t="s">
        <v>311</v>
      </c>
      <c r="E10" s="153" t="s">
        <v>312</v>
      </c>
      <c r="F10" s="153" t="s">
        <v>313</v>
      </c>
      <c r="G10" s="155" t="s">
        <v>290</v>
      </c>
    </row>
    <row r="11" customFormat="false" ht="30" hidden="false" customHeight="true" outlineLevel="0" collapsed="false">
      <c r="B11" s="152" t="s">
        <v>314</v>
      </c>
      <c r="C11" s="153" t="s">
        <v>315</v>
      </c>
      <c r="D11" s="154"/>
      <c r="E11" s="153"/>
      <c r="F11" s="153" t="s">
        <v>316</v>
      </c>
      <c r="G11" s="155" t="s">
        <v>290</v>
      </c>
    </row>
    <row r="13" customFormat="false" ht="15" hidden="false" customHeight="false" outlineLevel="0" collapsed="false">
      <c r="B13" s="41" t="s">
        <v>317</v>
      </c>
    </row>
  </sheetData>
  <sheetProtection sheet="true" password="ecf5" formatRows="false"/>
  <hyperlinks>
    <hyperlink ref="A1" location="Start!A1" display="⌂"/>
    <hyperlink ref="G5" r:id="rId1" display="Open →"/>
    <hyperlink ref="G6" r:id="rId2" display="Open →"/>
    <hyperlink ref="G7" r:id="rId3" display="Open →"/>
    <hyperlink ref="G8" r:id="rId4" display="Open →"/>
    <hyperlink ref="G9" r:id="rId5" display="Open →"/>
    <hyperlink ref="G10" r:id="rId6" display="Open →"/>
    <hyperlink ref="G11" r:id="rId7" display="Open →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AA3AE"/>
    <pageSetUpPr fitToPage="false"/>
  </sheetPr>
  <dimension ref="A1:T66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10"/>
    <col collapsed="false" customWidth="true" hidden="false" outlineLevel="0" max="3" min="3" style="0" width="2"/>
    <col collapsed="false" customWidth="true" hidden="false" outlineLevel="0" max="4" min="4" style="0" width="16"/>
    <col collapsed="false" customWidth="true" hidden="false" outlineLevel="0" max="5" min="5" style="0" width="2"/>
    <col collapsed="false" customWidth="true" hidden="false" outlineLevel="0" max="6" min="6" style="0" width="16"/>
    <col collapsed="false" customWidth="true" hidden="false" outlineLevel="0" max="7" min="7" style="0" width="2"/>
    <col collapsed="false" customWidth="true" hidden="false" outlineLevel="0" max="8" min="8" style="0" width="20"/>
    <col collapsed="false" customWidth="true" hidden="false" outlineLevel="0" max="9" min="9" style="0" width="2"/>
    <col collapsed="false" customWidth="true" hidden="false" outlineLevel="0" max="10" min="10" style="0" width="14"/>
    <col collapsed="false" customWidth="true" hidden="false" outlineLevel="0" max="12" min="11" style="0" width="9"/>
    <col collapsed="false" customWidth="true" hidden="false" outlineLevel="0" max="13" min="13" style="0" width="2"/>
    <col collapsed="false" customWidth="true" hidden="false" outlineLevel="0" max="14" min="14" style="0" width="16"/>
    <col collapsed="false" customWidth="true" hidden="false" outlineLevel="0" max="15" min="15" style="0" width="12"/>
    <col collapsed="false" customWidth="true" hidden="false" outlineLevel="0" max="16" min="16" style="0" width="14"/>
    <col collapsed="false" customWidth="true" hidden="false" outlineLevel="0" max="17" min="17" style="0" width="2"/>
    <col collapsed="false" customWidth="true" hidden="false" outlineLevel="0" max="18" min="18" style="0" width="10"/>
    <col collapsed="false" customWidth="true" hidden="false" outlineLevel="0" max="19" min="19" style="0" width="14"/>
    <col collapsed="false" customWidth="true" hidden="false" outlineLevel="0" max="20" min="20" style="0" width="24"/>
  </cols>
  <sheetData>
    <row r="1" customFormat="false" ht="33.75" hidden="false" customHeight="true" outlineLevel="0" collapsed="false">
      <c r="A1" s="156" t="s">
        <v>58</v>
      </c>
      <c r="B1" s="157" t="s">
        <v>318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</row>
    <row r="2" customFormat="false" ht="15" hidden="false" customHeight="false" outlineLevel="0" collapsed="false">
      <c r="A2" s="158"/>
      <c r="B2" s="159" t="s">
        <v>319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</row>
    <row r="3" customFormat="false" ht="15" hidden="false" customHeight="false" outlineLevel="0" collapsed="false">
      <c r="A3" s="158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</row>
    <row r="4" customFormat="false" ht="30" hidden="false" customHeight="true" outlineLevel="0" collapsed="false">
      <c r="A4" s="160" t="s">
        <v>320</v>
      </c>
      <c r="B4" s="160" t="s">
        <v>321</v>
      </c>
      <c r="C4" s="158"/>
      <c r="D4" s="160" t="s">
        <v>322</v>
      </c>
      <c r="E4" s="158"/>
      <c r="F4" s="160" t="s">
        <v>323</v>
      </c>
      <c r="G4" s="158"/>
      <c r="H4" s="160" t="s">
        <v>324</v>
      </c>
      <c r="I4" s="158"/>
      <c r="J4" s="160" t="s">
        <v>325</v>
      </c>
      <c r="K4" s="160" t="s">
        <v>326</v>
      </c>
      <c r="L4" s="160" t="s">
        <v>327</v>
      </c>
      <c r="M4" s="158"/>
      <c r="N4" s="160" t="s">
        <v>328</v>
      </c>
      <c r="O4" s="160" t="s">
        <v>329</v>
      </c>
      <c r="P4" s="160" t="s">
        <v>330</v>
      </c>
      <c r="Q4" s="158"/>
      <c r="R4" s="160" t="s">
        <v>67</v>
      </c>
      <c r="S4" s="160" t="s">
        <v>331</v>
      </c>
      <c r="T4" s="160" t="s">
        <v>265</v>
      </c>
    </row>
    <row r="5" customFormat="false" ht="15" hidden="false" customHeight="false" outlineLevel="0" collapsed="false">
      <c r="A5" s="161" t="s">
        <v>332</v>
      </c>
      <c r="B5" s="161" t="s">
        <v>333</v>
      </c>
      <c r="C5" s="158"/>
      <c r="D5" s="161" t="s">
        <v>334</v>
      </c>
      <c r="E5" s="158"/>
      <c r="F5" s="161" t="s">
        <v>335</v>
      </c>
      <c r="G5" s="158"/>
      <c r="H5" s="161" t="s">
        <v>336</v>
      </c>
      <c r="I5" s="158"/>
      <c r="J5" s="161" t="s">
        <v>337</v>
      </c>
      <c r="K5" s="161" t="n">
        <v>0.55</v>
      </c>
      <c r="L5" s="161" t="n">
        <v>0.9</v>
      </c>
      <c r="M5" s="158"/>
      <c r="N5" s="161" t="s">
        <v>70</v>
      </c>
      <c r="O5" s="161" t="s">
        <v>338</v>
      </c>
      <c r="P5" s="161" t="s">
        <v>70</v>
      </c>
      <c r="Q5" s="158"/>
      <c r="R5" s="161" t="s">
        <v>338</v>
      </c>
      <c r="S5" s="162" t="n">
        <v>1</v>
      </c>
      <c r="T5" s="161" t="s">
        <v>339</v>
      </c>
    </row>
    <row r="6" customFormat="false" ht="15" hidden="false" customHeight="false" outlineLevel="0" collapsed="false">
      <c r="A6" s="161" t="s">
        <v>340</v>
      </c>
      <c r="B6" s="161" t="s">
        <v>341</v>
      </c>
      <c r="C6" s="158"/>
      <c r="D6" s="161" t="s">
        <v>342</v>
      </c>
      <c r="E6" s="158"/>
      <c r="F6" s="161" t="s">
        <v>343</v>
      </c>
      <c r="G6" s="158"/>
      <c r="H6" s="161" t="s">
        <v>344</v>
      </c>
      <c r="I6" s="158"/>
      <c r="J6" s="161" t="s">
        <v>214</v>
      </c>
      <c r="K6" s="161" t="n">
        <v>0.75</v>
      </c>
      <c r="L6" s="161" t="n">
        <v>0.95</v>
      </c>
      <c r="M6" s="158"/>
      <c r="N6" s="161" t="s">
        <v>345</v>
      </c>
      <c r="O6" s="161" t="s">
        <v>346</v>
      </c>
      <c r="P6" s="161" t="s">
        <v>345</v>
      </c>
      <c r="Q6" s="158"/>
      <c r="R6" s="161" t="s">
        <v>346</v>
      </c>
      <c r="S6" s="162" t="n">
        <v>25.929074</v>
      </c>
      <c r="T6" s="161" t="s">
        <v>347</v>
      </c>
    </row>
    <row r="7" customFormat="false" ht="15" hidden="false" customHeight="false" outlineLevel="0" collapsed="false">
      <c r="A7" s="161" t="s">
        <v>247</v>
      </c>
      <c r="B7" s="161" t="s">
        <v>341</v>
      </c>
      <c r="C7" s="158"/>
      <c r="D7" s="161" t="s">
        <v>348</v>
      </c>
      <c r="E7" s="158"/>
      <c r="F7" s="161" t="s">
        <v>349</v>
      </c>
      <c r="G7" s="158"/>
      <c r="H7" s="161" t="s">
        <v>350</v>
      </c>
      <c r="I7" s="158"/>
      <c r="J7" s="161" t="s">
        <v>75</v>
      </c>
      <c r="K7" s="161" t="n">
        <v>1</v>
      </c>
      <c r="L7" s="161" t="n">
        <v>1</v>
      </c>
      <c r="M7" s="158"/>
      <c r="N7" s="161" t="s">
        <v>351</v>
      </c>
      <c r="O7" s="161" t="s">
        <v>104</v>
      </c>
      <c r="P7" s="161" t="s">
        <v>70</v>
      </c>
      <c r="Q7" s="158"/>
      <c r="R7" s="161" t="s">
        <v>104</v>
      </c>
      <c r="S7" s="162" t="n">
        <v>95.224524</v>
      </c>
      <c r="T7" s="161" t="s">
        <v>352</v>
      </c>
    </row>
    <row r="8" customFormat="false" ht="15" hidden="false" customHeight="false" outlineLevel="0" collapsed="false">
      <c r="A8" s="161" t="s">
        <v>353</v>
      </c>
      <c r="B8" s="161" t="s">
        <v>341</v>
      </c>
      <c r="C8" s="158"/>
      <c r="D8" s="161" t="s">
        <v>354</v>
      </c>
      <c r="E8" s="158"/>
      <c r="F8" s="161" t="s">
        <v>355</v>
      </c>
      <c r="G8" s="158"/>
      <c r="H8" s="161" t="s">
        <v>356</v>
      </c>
      <c r="I8" s="158"/>
      <c r="J8" s="161" t="s">
        <v>357</v>
      </c>
      <c r="K8" s="161" t="n">
        <v>1.5</v>
      </c>
      <c r="L8" s="161" t="n">
        <v>1.15</v>
      </c>
      <c r="M8" s="158"/>
      <c r="N8" s="161"/>
      <c r="O8" s="161"/>
      <c r="P8" s="161"/>
      <c r="Q8" s="158"/>
      <c r="R8" s="161" t="s">
        <v>105</v>
      </c>
      <c r="S8" s="162" t="n">
        <v>106.62495</v>
      </c>
      <c r="T8" s="161" t="s">
        <v>358</v>
      </c>
    </row>
    <row r="9" customFormat="false" ht="15" hidden="false" customHeight="false" outlineLevel="0" collapsed="false">
      <c r="A9" s="161" t="s">
        <v>359</v>
      </c>
      <c r="B9" s="161" t="s">
        <v>333</v>
      </c>
      <c r="C9" s="158"/>
      <c r="D9" s="161" t="s">
        <v>360</v>
      </c>
      <c r="E9" s="158"/>
      <c r="F9" s="161" t="s">
        <v>361</v>
      </c>
      <c r="G9" s="158"/>
      <c r="H9" s="161" t="s">
        <v>362</v>
      </c>
      <c r="I9" s="158"/>
      <c r="J9" s="161" t="s">
        <v>363</v>
      </c>
      <c r="K9" s="161" t="n">
        <v>2.6</v>
      </c>
      <c r="L9" s="161" t="n">
        <v>2.5</v>
      </c>
      <c r="M9" s="158"/>
      <c r="N9" s="161"/>
      <c r="O9" s="161"/>
      <c r="P9" s="161"/>
      <c r="Q9" s="158"/>
      <c r="R9" s="161" t="s">
        <v>364</v>
      </c>
      <c r="S9" s="162" t="n">
        <v>127.541174</v>
      </c>
      <c r="T9" s="161" t="s">
        <v>365</v>
      </c>
    </row>
    <row r="10" customFormat="false" ht="15" hidden="false" customHeight="false" outlineLevel="0" collapsed="false">
      <c r="A10" s="161" t="s">
        <v>366</v>
      </c>
      <c r="B10" s="161" t="s">
        <v>341</v>
      </c>
      <c r="C10" s="158"/>
      <c r="D10" s="161" t="s">
        <v>367</v>
      </c>
      <c r="E10" s="158"/>
      <c r="F10" s="161" t="s">
        <v>246</v>
      </c>
      <c r="G10" s="158"/>
      <c r="H10" s="161" t="s">
        <v>368</v>
      </c>
      <c r="I10" s="158"/>
      <c r="J10" s="161"/>
      <c r="K10" s="161"/>
      <c r="L10" s="161"/>
      <c r="M10" s="158"/>
      <c r="N10" s="161"/>
      <c r="O10" s="161"/>
      <c r="P10" s="161"/>
      <c r="Q10" s="158"/>
      <c r="R10" s="161" t="s">
        <v>369</v>
      </c>
      <c r="S10" s="162" t="n">
        <v>74.495424</v>
      </c>
      <c r="T10" s="161" t="s">
        <v>370</v>
      </c>
    </row>
    <row r="11" customFormat="false" ht="15" hidden="false" customHeight="false" outlineLevel="0" collapsed="false">
      <c r="A11" s="161" t="s">
        <v>371</v>
      </c>
      <c r="B11" s="161" t="s">
        <v>341</v>
      </c>
      <c r="C11" s="158"/>
      <c r="D11" s="161" t="s">
        <v>372</v>
      </c>
      <c r="E11" s="158"/>
      <c r="F11" s="161" t="s">
        <v>373</v>
      </c>
      <c r="G11" s="158"/>
      <c r="H11" s="161" t="s">
        <v>374</v>
      </c>
      <c r="I11" s="158"/>
      <c r="J11" s="158"/>
      <c r="K11" s="158"/>
      <c r="L11" s="158"/>
      <c r="M11" s="158"/>
      <c r="N11" s="158"/>
      <c r="O11" s="158"/>
      <c r="P11" s="158"/>
      <c r="Q11" s="158"/>
      <c r="R11" s="161" t="s">
        <v>375</v>
      </c>
      <c r="S11" s="162" t="n">
        <v>2.823393</v>
      </c>
      <c r="T11" s="161" t="s">
        <v>376</v>
      </c>
    </row>
    <row r="12" customFormat="false" ht="15" hidden="false" customHeight="false" outlineLevel="0" collapsed="false">
      <c r="A12" s="161" t="s">
        <v>377</v>
      </c>
      <c r="B12" s="161" t="s">
        <v>341</v>
      </c>
      <c r="C12" s="158"/>
      <c r="D12" s="161"/>
      <c r="E12" s="158"/>
      <c r="F12" s="161" t="s">
        <v>378</v>
      </c>
      <c r="G12" s="158"/>
      <c r="H12" s="161" t="s">
        <v>379</v>
      </c>
      <c r="I12" s="158"/>
      <c r="J12" s="158"/>
      <c r="K12" s="158"/>
      <c r="L12" s="158"/>
      <c r="M12" s="158"/>
      <c r="N12" s="158"/>
      <c r="O12" s="158"/>
      <c r="P12" s="158"/>
      <c r="Q12" s="158"/>
      <c r="R12" s="161" t="s">
        <v>380</v>
      </c>
      <c r="S12" s="162" t="n">
        <v>23.527401</v>
      </c>
      <c r="T12" s="161" t="s">
        <v>381</v>
      </c>
    </row>
    <row r="13" customFormat="false" ht="15" hidden="false" customHeight="false" outlineLevel="0" collapsed="false">
      <c r="A13" s="161" t="s">
        <v>382</v>
      </c>
      <c r="B13" s="161" t="s">
        <v>341</v>
      </c>
      <c r="C13" s="158"/>
      <c r="D13" s="161"/>
      <c r="E13" s="158"/>
      <c r="F13" s="161" t="s">
        <v>383</v>
      </c>
      <c r="G13" s="158"/>
      <c r="H13" s="161" t="s">
        <v>384</v>
      </c>
      <c r="I13" s="158"/>
      <c r="J13" s="158"/>
      <c r="K13" s="158"/>
      <c r="L13" s="158"/>
      <c r="M13" s="158"/>
      <c r="N13" s="158"/>
      <c r="O13" s="158"/>
      <c r="P13" s="158"/>
      <c r="Q13" s="158"/>
      <c r="R13" s="161" t="s">
        <v>385</v>
      </c>
      <c r="S13" s="162" t="n">
        <v>0.005248</v>
      </c>
      <c r="T13" s="161" t="s">
        <v>386</v>
      </c>
    </row>
    <row r="14" customFormat="false" ht="15" hidden="false" customHeight="false" outlineLevel="0" collapsed="false">
      <c r="A14" s="161" t="s">
        <v>387</v>
      </c>
      <c r="B14" s="161" t="s">
        <v>333</v>
      </c>
      <c r="C14" s="158"/>
      <c r="D14" s="161"/>
      <c r="E14" s="158"/>
      <c r="F14" s="161" t="s">
        <v>351</v>
      </c>
      <c r="G14" s="158"/>
      <c r="H14" s="161" t="s">
        <v>258</v>
      </c>
      <c r="I14" s="158"/>
      <c r="J14" s="158"/>
      <c r="K14" s="158"/>
      <c r="L14" s="158"/>
      <c r="M14" s="158"/>
      <c r="N14" s="158"/>
      <c r="O14" s="158"/>
      <c r="P14" s="158"/>
      <c r="Q14" s="158"/>
      <c r="R14" s="161" t="s">
        <v>388</v>
      </c>
      <c r="S14" s="162" t="n">
        <v>0.00362</v>
      </c>
      <c r="T14" s="161" t="s">
        <v>389</v>
      </c>
    </row>
    <row r="15" customFormat="false" ht="15" hidden="false" customHeight="false" outlineLevel="0" collapsed="false">
      <c r="A15" s="161" t="s">
        <v>390</v>
      </c>
      <c r="B15" s="161" t="s">
        <v>333</v>
      </c>
      <c r="C15" s="158"/>
      <c r="D15" s="161"/>
      <c r="E15" s="158"/>
      <c r="F15" s="161"/>
      <c r="G15" s="158"/>
      <c r="H15" s="161" t="s">
        <v>351</v>
      </c>
      <c r="I15" s="158"/>
      <c r="J15" s="158"/>
      <c r="K15" s="158"/>
      <c r="L15" s="158"/>
      <c r="M15" s="158"/>
      <c r="N15" s="158"/>
      <c r="O15" s="158"/>
      <c r="P15" s="158"/>
      <c r="Q15" s="158"/>
      <c r="R15" s="161" t="s">
        <v>391</v>
      </c>
      <c r="S15" s="162" t="n">
        <v>0.286489</v>
      </c>
      <c r="T15" s="161" t="s">
        <v>392</v>
      </c>
    </row>
    <row r="16" customFormat="false" ht="15" hidden="false" customHeight="false" outlineLevel="0" collapsed="false">
      <c r="A16" s="161" t="s">
        <v>379</v>
      </c>
      <c r="B16" s="161" t="s">
        <v>333</v>
      </c>
      <c r="C16" s="158"/>
      <c r="D16" s="161"/>
      <c r="E16" s="158"/>
      <c r="F16" s="161"/>
      <c r="G16" s="158"/>
      <c r="H16" s="161"/>
      <c r="I16" s="158"/>
      <c r="J16" s="158"/>
      <c r="K16" s="158"/>
      <c r="L16" s="158"/>
      <c r="M16" s="158"/>
      <c r="N16" s="158"/>
      <c r="O16" s="158"/>
      <c r="P16" s="158"/>
      <c r="Q16" s="158"/>
      <c r="R16" s="161" t="s">
        <v>393</v>
      </c>
      <c r="S16" s="162" t="n">
        <v>6.18</v>
      </c>
      <c r="T16" s="161" t="s">
        <v>394</v>
      </c>
    </row>
    <row r="17" customFormat="false" ht="15" hidden="false" customHeight="false" outlineLevel="0" collapsed="false">
      <c r="A17" s="161" t="s">
        <v>395</v>
      </c>
      <c r="B17" s="161" t="s">
        <v>333</v>
      </c>
      <c r="C17" s="158"/>
      <c r="D17" s="161"/>
      <c r="E17" s="158"/>
      <c r="F17" s="161"/>
      <c r="G17" s="158"/>
      <c r="H17" s="161"/>
      <c r="I17" s="158"/>
      <c r="J17" s="158"/>
      <c r="K17" s="158"/>
      <c r="L17" s="158"/>
      <c r="M17" s="158"/>
      <c r="N17" s="158"/>
      <c r="O17" s="158"/>
      <c r="P17" s="158"/>
      <c r="Q17" s="158"/>
      <c r="R17" s="161" t="s">
        <v>396</v>
      </c>
      <c r="S17" s="162" t="n">
        <v>0.624707</v>
      </c>
      <c r="T17" s="161" t="s">
        <v>397</v>
      </c>
    </row>
    <row r="18" customFormat="false" ht="15" hidden="false" customHeight="false" outlineLevel="0" collapsed="false">
      <c r="A18" s="161" t="s">
        <v>398</v>
      </c>
      <c r="B18" s="161" t="s">
        <v>333</v>
      </c>
      <c r="C18" s="158"/>
      <c r="D18" s="161"/>
      <c r="E18" s="158"/>
      <c r="F18" s="161"/>
      <c r="G18" s="158"/>
      <c r="H18" s="161"/>
      <c r="I18" s="158"/>
      <c r="J18" s="158"/>
      <c r="K18" s="158"/>
      <c r="L18" s="158"/>
      <c r="M18" s="158"/>
      <c r="N18" s="158"/>
      <c r="O18" s="158"/>
      <c r="P18" s="158"/>
      <c r="Q18" s="158"/>
      <c r="R18" s="161" t="s">
        <v>399</v>
      </c>
      <c r="S18" s="162" t="n">
        <v>0.604645</v>
      </c>
      <c r="T18" s="161" t="s">
        <v>400</v>
      </c>
    </row>
    <row r="19" customFormat="false" ht="15" hidden="false" customHeight="false" outlineLevel="0" collapsed="false">
      <c r="A19" s="161" t="s">
        <v>401</v>
      </c>
      <c r="B19" s="161" t="s">
        <v>341</v>
      </c>
      <c r="C19" s="158"/>
      <c r="D19" s="161"/>
      <c r="E19" s="158"/>
      <c r="F19" s="161"/>
      <c r="G19" s="158"/>
      <c r="H19" s="161"/>
      <c r="I19" s="158"/>
      <c r="J19" s="158"/>
      <c r="K19" s="158"/>
      <c r="L19" s="158"/>
      <c r="M19" s="158"/>
      <c r="N19" s="158"/>
      <c r="O19" s="158"/>
      <c r="P19" s="158"/>
      <c r="Q19" s="158"/>
      <c r="R19" s="161" t="s">
        <v>402</v>
      </c>
      <c r="S19" s="162" t="n">
        <v>0.071115</v>
      </c>
      <c r="T19" s="161" t="s">
        <v>403</v>
      </c>
    </row>
    <row r="20" customFormat="false" ht="15" hidden="false" customHeight="false" outlineLevel="0" collapsed="false">
      <c r="A20" s="161" t="s">
        <v>404</v>
      </c>
      <c r="B20" s="161" t="s">
        <v>333</v>
      </c>
      <c r="C20" s="158"/>
      <c r="D20" s="158"/>
      <c r="E20" s="158"/>
      <c r="F20" s="161"/>
      <c r="G20" s="158"/>
      <c r="H20" s="161"/>
      <c r="I20" s="158"/>
      <c r="J20" s="158"/>
      <c r="K20" s="158"/>
      <c r="L20" s="158"/>
      <c r="M20" s="158"/>
      <c r="N20" s="158"/>
      <c r="O20" s="158"/>
      <c r="P20" s="158"/>
      <c r="Q20" s="158"/>
      <c r="R20" s="161" t="s">
        <v>405</v>
      </c>
      <c r="S20" s="162" t="n">
        <v>12.137431</v>
      </c>
      <c r="T20" s="161" t="s">
        <v>406</v>
      </c>
    </row>
    <row r="21" customFormat="false" ht="15" hidden="false" customHeight="false" outlineLevel="0" collapsed="false">
      <c r="A21" s="161" t="s">
        <v>407</v>
      </c>
      <c r="B21" s="161" t="s">
        <v>333</v>
      </c>
      <c r="C21" s="158"/>
      <c r="D21" s="158"/>
      <c r="E21" s="158"/>
      <c r="F21" s="161"/>
      <c r="G21" s="158"/>
      <c r="H21" s="161"/>
      <c r="I21" s="158"/>
      <c r="J21" s="158"/>
      <c r="K21" s="158"/>
      <c r="L21" s="158"/>
      <c r="M21" s="158"/>
      <c r="N21" s="158"/>
      <c r="O21" s="158"/>
      <c r="P21" s="158"/>
      <c r="Q21" s="158"/>
      <c r="R21" s="161" t="s">
        <v>408</v>
      </c>
      <c r="S21" s="162" t="n">
        <v>1.495525</v>
      </c>
      <c r="T21" s="161" t="s">
        <v>409</v>
      </c>
    </row>
    <row r="22" customFormat="false" ht="15" hidden="false" customHeight="false" outlineLevel="0" collapsed="false">
      <c r="A22" s="161" t="s">
        <v>351</v>
      </c>
      <c r="B22" s="161" t="s">
        <v>333</v>
      </c>
      <c r="C22" s="158"/>
      <c r="D22" s="158"/>
      <c r="E22" s="158"/>
      <c r="F22" s="161"/>
      <c r="G22" s="158"/>
      <c r="H22" s="161"/>
      <c r="I22" s="158"/>
      <c r="J22" s="158"/>
      <c r="K22" s="158"/>
      <c r="L22" s="158"/>
      <c r="M22" s="158"/>
      <c r="N22" s="158"/>
      <c r="O22" s="158"/>
      <c r="P22" s="158"/>
      <c r="Q22" s="158"/>
      <c r="R22" s="161" t="s">
        <v>410</v>
      </c>
      <c r="S22" s="162" t="n">
        <v>0.210239</v>
      </c>
      <c r="T22" s="161" t="s">
        <v>411</v>
      </c>
    </row>
    <row r="23" customFormat="false" ht="15" hidden="false" customHeight="false" outlineLevel="0" collapsed="false">
      <c r="A23" s="161"/>
      <c r="B23" s="161"/>
      <c r="C23" s="158"/>
      <c r="D23" s="158"/>
      <c r="E23" s="158"/>
      <c r="F23" s="161"/>
      <c r="G23" s="158"/>
      <c r="H23" s="161"/>
      <c r="I23" s="158"/>
      <c r="J23" s="158"/>
      <c r="K23" s="158"/>
      <c r="L23" s="158"/>
      <c r="M23" s="158"/>
      <c r="N23" s="158"/>
      <c r="O23" s="158"/>
      <c r="P23" s="158"/>
      <c r="Q23" s="158"/>
      <c r="R23" s="161" t="s">
        <v>412</v>
      </c>
      <c r="S23" s="162" t="n">
        <v>35.3</v>
      </c>
      <c r="T23" s="161" t="s">
        <v>413</v>
      </c>
    </row>
    <row r="24" customFormat="false" ht="15" hidden="false" customHeight="false" outlineLevel="0" collapsed="false">
      <c r="A24" s="161"/>
      <c r="B24" s="161"/>
      <c r="C24" s="158"/>
      <c r="D24" s="158"/>
      <c r="E24" s="158"/>
      <c r="F24" s="161"/>
      <c r="G24" s="158"/>
      <c r="H24" s="161"/>
      <c r="I24" s="158"/>
      <c r="J24" s="158"/>
      <c r="K24" s="158"/>
      <c r="L24" s="158"/>
      <c r="M24" s="158"/>
      <c r="N24" s="158"/>
      <c r="O24" s="158"/>
      <c r="P24" s="158"/>
      <c r="Q24" s="158"/>
      <c r="R24" s="161" t="s">
        <v>414</v>
      </c>
      <c r="S24" s="162" t="n">
        <v>56</v>
      </c>
      <c r="T24" s="161" t="s">
        <v>415</v>
      </c>
    </row>
    <row r="25" customFormat="false" ht="15" hidden="false" customHeight="false" outlineLevel="0" collapsed="false">
      <c r="A25" s="161"/>
      <c r="B25" s="161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61" t="s">
        <v>416</v>
      </c>
      <c r="S25" s="162" t="n">
        <v>1.906285</v>
      </c>
      <c r="T25" s="161" t="s">
        <v>417</v>
      </c>
    </row>
    <row r="26" customFormat="false" ht="15" hidden="false" customHeight="false" outlineLevel="0" collapsed="false">
      <c r="A26" s="161"/>
      <c r="B26" s="161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61" t="s">
        <v>418</v>
      </c>
      <c r="S26" s="162" t="n">
        <v>247.442273</v>
      </c>
      <c r="T26" s="161" t="s">
        <v>419</v>
      </c>
    </row>
    <row r="27" customFormat="false" ht="15" hidden="false" customHeight="false" outlineLevel="0" collapsed="false">
      <c r="A27" s="161"/>
      <c r="B27" s="161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61" t="s">
        <v>420</v>
      </c>
      <c r="S27" s="162" t="n">
        <v>26.160583</v>
      </c>
      <c r="T27" s="161" t="s">
        <v>421</v>
      </c>
    </row>
    <row r="28" customFormat="false" ht="15" hidden="false" customHeight="false" outlineLevel="0" collapsed="false">
      <c r="A28" s="161"/>
      <c r="B28" s="161"/>
      <c r="C28" s="158"/>
      <c r="D28" s="158"/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61" t="s">
        <v>422</v>
      </c>
      <c r="S28" s="162" t="n">
        <v>25.393206</v>
      </c>
      <c r="T28" s="161" t="s">
        <v>423</v>
      </c>
    </row>
    <row r="29" customFormat="false" ht="15" hidden="false" customHeight="false" outlineLevel="0" collapsed="false">
      <c r="A29" s="161"/>
      <c r="B29" s="161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61" t="s">
        <v>424</v>
      </c>
      <c r="S29" s="162" t="n">
        <v>253.256712</v>
      </c>
      <c r="T29" s="161" t="s">
        <v>425</v>
      </c>
    </row>
    <row r="30" customFormat="false" ht="15" hidden="false" customHeight="false" outlineLevel="0" collapsed="false">
      <c r="A30" s="158"/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61" t="s">
        <v>426</v>
      </c>
      <c r="S30" s="162" t="n">
        <v>306.018792</v>
      </c>
      <c r="T30" s="161" t="s">
        <v>427</v>
      </c>
    </row>
    <row r="31" customFormat="false" ht="15" hidden="false" customHeight="false" outlineLevel="0" collapsed="false">
      <c r="A31" s="163" t="s">
        <v>428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61" t="s">
        <v>429</v>
      </c>
      <c r="S31" s="162" t="n">
        <v>1.98</v>
      </c>
      <c r="T31" s="161" t="s">
        <v>430</v>
      </c>
    </row>
    <row r="32" customFormat="false" ht="15" hidden="false" customHeight="false" outlineLevel="0" collapsed="false">
      <c r="A32" s="158"/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61" t="s">
        <v>431</v>
      </c>
      <c r="S32" s="162" t="n">
        <v>2.005753</v>
      </c>
      <c r="T32" s="161" t="s">
        <v>432</v>
      </c>
    </row>
    <row r="33" customFormat="false" ht="15" hidden="false" customHeight="false" outlineLevel="0" collapsed="false">
      <c r="A33" s="158"/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61" t="s">
        <v>433</v>
      </c>
      <c r="S33" s="162" t="n">
        <v>115.957456</v>
      </c>
      <c r="T33" s="161" t="s">
        <v>434</v>
      </c>
    </row>
    <row r="34" customFormat="false" ht="15" hidden="false" customHeight="false" outlineLevel="0" collapsed="false">
      <c r="A34" s="158"/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61" t="s">
        <v>435</v>
      </c>
      <c r="S34" s="162" t="n">
        <v>4.380707</v>
      </c>
      <c r="T34" s="161" t="s">
        <v>436</v>
      </c>
    </row>
    <row r="35" customFormat="false" ht="15" hidden="false" customHeight="false" outlineLevel="0" collapsed="false">
      <c r="A35" s="158"/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61" t="s">
        <v>437</v>
      </c>
      <c r="S35" s="162" t="n">
        <v>0.29147</v>
      </c>
      <c r="T35" s="161" t="s">
        <v>438</v>
      </c>
    </row>
    <row r="36" customFormat="false" ht="15" hidden="false" customHeight="false" outlineLevel="0" collapsed="false">
      <c r="A36" s="158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61" t="s">
        <v>439</v>
      </c>
      <c r="S36" s="162" t="n">
        <v>24.300044</v>
      </c>
      <c r="T36" s="161" t="s">
        <v>440</v>
      </c>
    </row>
    <row r="37" customFormat="false" ht="15" hidden="false" customHeight="false" outlineLevel="0" collapsed="false">
      <c r="A37" s="158"/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61" t="s">
        <v>441</v>
      </c>
      <c r="S37" s="162" t="n">
        <v>10.327529</v>
      </c>
      <c r="T37" s="161" t="s">
        <v>442</v>
      </c>
    </row>
    <row r="38" customFormat="false" ht="15" hidden="false" customHeight="false" outlineLevel="0" collapsed="false">
      <c r="A38" s="158"/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61" t="s">
        <v>443</v>
      </c>
      <c r="S38" s="162" t="n">
        <v>9.693311</v>
      </c>
      <c r="T38" s="161" t="s">
        <v>444</v>
      </c>
    </row>
    <row r="39" customFormat="false" ht="15" hidden="false" customHeight="false" outlineLevel="0" collapsed="false">
      <c r="A39" s="158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61" t="s">
        <v>445</v>
      </c>
      <c r="S39" s="162" t="n">
        <v>14.266679</v>
      </c>
      <c r="T39" s="161" t="s">
        <v>446</v>
      </c>
    </row>
    <row r="40" customFormat="false" ht="15" hidden="false" customHeight="false" outlineLevel="0" collapsed="false">
      <c r="A40" s="158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61" t="s">
        <v>447</v>
      </c>
      <c r="S40" s="162" t="n">
        <v>0.784998</v>
      </c>
      <c r="T40" s="161" t="s">
        <v>448</v>
      </c>
    </row>
    <row r="41" customFormat="false" ht="15" hidden="false" customHeight="false" outlineLevel="0" collapsed="false">
      <c r="A41" s="158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61" t="s">
        <v>449</v>
      </c>
      <c r="S41" s="162" t="n">
        <v>68.167565</v>
      </c>
      <c r="T41" s="161" t="s">
        <v>450</v>
      </c>
    </row>
    <row r="42" customFormat="false" ht="15" hidden="false" customHeight="false" outlineLevel="0" collapsed="false">
      <c r="A42" s="158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61" t="s">
        <v>451</v>
      </c>
      <c r="S42" s="162" t="n">
        <v>66.985696</v>
      </c>
      <c r="T42" s="161" t="s">
        <v>452</v>
      </c>
    </row>
    <row r="43" customFormat="false" ht="15" hidden="false" customHeight="false" outlineLevel="0" collapsed="false">
      <c r="A43" s="158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61" t="s">
        <v>453</v>
      </c>
      <c r="S43" s="162" t="n">
        <v>53.651743</v>
      </c>
      <c r="T43" s="161" t="s">
        <v>454</v>
      </c>
    </row>
    <row r="44" customFormat="false" ht="15" hidden="false" customHeight="false" outlineLevel="0" collapsed="false">
      <c r="A44" s="158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61" t="s">
        <v>455</v>
      </c>
      <c r="S44" s="162" t="n">
        <v>14.298873</v>
      </c>
      <c r="T44" s="161" t="s">
        <v>456</v>
      </c>
    </row>
    <row r="45" customFormat="false" ht="15" hidden="false" customHeight="false" outlineLevel="0" collapsed="false">
      <c r="A45" s="158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61" t="s">
        <v>457</v>
      </c>
      <c r="S45" s="162" t="n">
        <v>5.730914</v>
      </c>
      <c r="T45" s="161" t="s">
        <v>458</v>
      </c>
    </row>
    <row r="46" customFormat="false" ht="15" hidden="false" customHeight="false" outlineLevel="0" collapsed="false">
      <c r="A46" s="158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61"/>
      <c r="S46" s="162"/>
      <c r="T46" s="161"/>
    </row>
    <row r="47" customFormat="false" ht="15" hidden="false" customHeight="false" outlineLevel="0" collapsed="false">
      <c r="A47" s="158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61"/>
      <c r="S47" s="162"/>
      <c r="T47" s="161"/>
    </row>
    <row r="48" customFormat="false" ht="15" hidden="false" customHeight="false" outlineLevel="0" collapsed="false">
      <c r="A48" s="158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61"/>
      <c r="S48" s="162"/>
      <c r="T48" s="161"/>
    </row>
    <row r="49" customFormat="false" ht="15" hidden="false" customHeight="false" outlineLevel="0" collapsed="false">
      <c r="A49" s="158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61"/>
      <c r="S49" s="162"/>
      <c r="T49" s="161"/>
    </row>
    <row r="50" customFormat="false" ht="15" hidden="false" customHeight="false" outlineLevel="0" collapsed="false">
      <c r="A50" s="158"/>
      <c r="B50" s="158"/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61"/>
      <c r="S50" s="162"/>
      <c r="T50" s="161"/>
    </row>
    <row r="51" customFormat="false" ht="15" hidden="false" customHeight="false" outlineLevel="0" collapsed="false">
      <c r="A51" s="158"/>
      <c r="B51" s="158"/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61"/>
      <c r="S51" s="162"/>
      <c r="T51" s="161"/>
    </row>
    <row r="52" customFormat="false" ht="15" hidden="false" customHeight="false" outlineLevel="0" collapsed="false">
      <c r="A52" s="158"/>
      <c r="B52" s="158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61"/>
      <c r="S52" s="162"/>
      <c r="T52" s="161"/>
    </row>
    <row r="53" customFormat="false" ht="15" hidden="false" customHeight="false" outlineLevel="0" collapsed="false">
      <c r="A53" s="158"/>
      <c r="B53" s="158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61"/>
      <c r="S53" s="162"/>
      <c r="T53" s="161"/>
    </row>
    <row r="54" customFormat="false" ht="15" hidden="false" customHeight="false" outlineLevel="0" collapsed="false">
      <c r="A54" s="158"/>
      <c r="B54" s="158"/>
      <c r="C54" s="158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61"/>
      <c r="S54" s="162"/>
      <c r="T54" s="161"/>
    </row>
    <row r="55" customFormat="false" ht="15" hidden="false" customHeight="false" outlineLevel="0" collapsed="false">
      <c r="A55" s="158"/>
      <c r="B55" s="158"/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61"/>
      <c r="S55" s="162"/>
      <c r="T55" s="161"/>
    </row>
    <row r="56" customFormat="false" ht="15" hidden="false" customHeight="false" outlineLevel="0" collapsed="false">
      <c r="A56" s="158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61"/>
      <c r="S56" s="162"/>
      <c r="T56" s="161"/>
    </row>
    <row r="57" customFormat="false" ht="15" hidden="false" customHeight="false" outlineLevel="0" collapsed="false">
      <c r="A57" s="158"/>
      <c r="B57" s="158"/>
      <c r="C57" s="158"/>
      <c r="D57" s="158"/>
      <c r="E57" s="158"/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61"/>
      <c r="S57" s="162"/>
      <c r="T57" s="161"/>
    </row>
    <row r="58" customFormat="false" ht="15" hidden="false" customHeight="false" outlineLevel="0" collapsed="false">
      <c r="A58" s="158"/>
      <c r="B58" s="158"/>
      <c r="C58" s="158"/>
      <c r="D58" s="158"/>
      <c r="E58" s="158"/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61"/>
      <c r="S58" s="162"/>
      <c r="T58" s="161"/>
    </row>
    <row r="59" customFormat="false" ht="15" hidden="false" customHeight="false" outlineLevel="0" collapsed="false">
      <c r="A59" s="158"/>
      <c r="B59" s="158"/>
      <c r="C59" s="158"/>
      <c r="D59" s="158"/>
      <c r="E59" s="158"/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61"/>
      <c r="S59" s="162"/>
      <c r="T59" s="161"/>
    </row>
    <row r="60" customFormat="false" ht="15" hidden="false" customHeight="false" outlineLevel="0" collapsed="false">
      <c r="A60" s="158"/>
      <c r="B60" s="158"/>
      <c r="C60" s="158"/>
      <c r="D60" s="158"/>
      <c r="E60" s="158"/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61"/>
      <c r="S60" s="162"/>
      <c r="T60" s="161"/>
    </row>
    <row r="61" customFormat="false" ht="15" hidden="false" customHeight="false" outlineLevel="0" collapsed="false">
      <c r="A61" s="158"/>
      <c r="B61" s="158"/>
      <c r="C61" s="158"/>
      <c r="D61" s="158"/>
      <c r="E61" s="158"/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61"/>
      <c r="S61" s="162"/>
      <c r="T61" s="161"/>
    </row>
    <row r="62" customFormat="false" ht="15" hidden="false" customHeight="false" outlineLevel="0" collapsed="false">
      <c r="A62" s="158"/>
      <c r="B62" s="158"/>
      <c r="C62" s="158"/>
      <c r="D62" s="158"/>
      <c r="E62" s="158"/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61"/>
      <c r="S62" s="162"/>
      <c r="T62" s="161"/>
    </row>
    <row r="63" customFormat="false" ht="15" hidden="false" customHeight="false" outlineLevel="0" collapsed="false">
      <c r="A63" s="158"/>
      <c r="B63" s="158"/>
      <c r="C63" s="158"/>
      <c r="D63" s="158"/>
      <c r="E63" s="158"/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61"/>
      <c r="S63" s="162"/>
      <c r="T63" s="161"/>
    </row>
    <row r="64" customFormat="false" ht="15" hidden="false" customHeight="false" outlineLevel="0" collapsed="false">
      <c r="A64" s="158"/>
      <c r="B64" s="158"/>
      <c r="C64" s="158"/>
      <c r="D64" s="158"/>
      <c r="E64" s="158"/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61"/>
      <c r="S64" s="162"/>
      <c r="T64" s="161"/>
    </row>
    <row r="65" customFormat="false" ht="15" hidden="false" customHeight="false" outlineLevel="0" collapsed="false">
      <c r="A65" s="158"/>
      <c r="B65" s="158"/>
      <c r="C65" s="158"/>
      <c r="D65" s="158"/>
      <c r="E65" s="158"/>
      <c r="F65" s="158"/>
      <c r="G65" s="158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</row>
    <row r="66" customFormat="false" ht="15" hidden="false" customHeight="false" outlineLevel="0" collapsed="false">
      <c r="A66" s="158"/>
      <c r="B66" s="158"/>
      <c r="C66" s="158"/>
      <c r="D66" s="158"/>
      <c r="E66" s="158"/>
      <c r="F66" s="158"/>
      <c r="G66" s="158"/>
      <c r="H66" s="158"/>
      <c r="I66" s="158"/>
      <c r="J66" s="158"/>
      <c r="K66" s="158"/>
      <c r="L66" s="158"/>
      <c r="M66" s="158"/>
      <c r="N66" s="158"/>
      <c r="O66" s="158"/>
      <c r="P66" s="158"/>
      <c r="Q66" s="158"/>
      <c r="R66" s="163" t="s">
        <v>459</v>
      </c>
      <c r="S66" s="158"/>
      <c r="T66" s="158"/>
    </row>
  </sheetData>
  <dataValidations count="2">
    <dataValidation allowBlank="true" error="Please pick from the list (click the ▼ arrow)." errorStyle="stop" errorTitle="Pick from the list" operator="between" showDropDown="false" showErrorMessage="true" showInputMessage="false" sqref="B5:B29" type="list">
      <formula1>"Yes,No"</formula1>
      <formula2>0</formula2>
    </dataValidation>
    <dataValidation allowBlank="true" error="Please pick from the list (click the ▼ arrow)." errorStyle="stop" errorTitle="Pick from the list" operator="between" showDropDown="false" showErrorMessage="true" showInputMessage="false" sqref="P5:P10" type="list">
      <formula1>"India,UAE"</formula1>
      <formula2>0</formula2>
    </dataValidation>
  </dataValidations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AA3AE"/>
    <pageSetUpPr fitToPage="false"/>
  </sheetPr>
  <dimension ref="A1:R84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5"/>
    <col collapsed="false" customWidth="true" hidden="false" outlineLevel="0" max="2" min="2" style="0" width="12"/>
    <col collapsed="false" customWidth="true" hidden="false" outlineLevel="0" max="3" min="3" style="0" width="8"/>
    <col collapsed="false" customWidth="true" hidden="false" outlineLevel="0" max="4" min="4" style="0" width="24"/>
    <col collapsed="false" customWidth="true" hidden="false" outlineLevel="0" max="5" min="5" style="0" width="46"/>
    <col collapsed="false" customWidth="true" hidden="false" outlineLevel="0" max="6" min="6" style="0" width="10"/>
    <col collapsed="false" customWidth="true" hidden="false" outlineLevel="0" max="7" min="7" style="0" width="9"/>
    <col collapsed="false" customWidth="true" hidden="false" outlineLevel="0" max="8" min="8" style="0" width="8"/>
    <col collapsed="false" customWidth="true" hidden="false" outlineLevel="0" max="10" min="9" style="0" width="11"/>
    <col collapsed="false" customWidth="true" hidden="false" outlineLevel="0" max="11" min="11" style="0" width="10"/>
    <col collapsed="false" customWidth="true" hidden="false" outlineLevel="0" max="12" min="12" style="0" width="9"/>
    <col collapsed="false" customWidth="true" hidden="false" outlineLevel="0" max="14" min="13" style="0" width="10"/>
    <col collapsed="false" customWidth="true" hidden="false" outlineLevel="0" max="15" min="15" style="0" width="9"/>
    <col collapsed="false" customWidth="true" hidden="false" outlineLevel="0" max="16" min="16" style="0" width="8"/>
    <col collapsed="false" customWidth="true" hidden="false" outlineLevel="0" max="17" min="17" style="0" width="24"/>
    <col collapsed="false" customWidth="true" hidden="false" outlineLevel="0" max="18" min="18" style="0" width="44"/>
  </cols>
  <sheetData>
    <row r="1" customFormat="false" ht="33.75" hidden="false" customHeight="true" outlineLevel="0" collapsed="false">
      <c r="A1" s="156" t="s">
        <v>58</v>
      </c>
      <c r="B1" s="157" t="s">
        <v>460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customFormat="false" ht="15" hidden="false" customHeight="false" outlineLevel="0" collapsed="false">
      <c r="A2" s="158"/>
      <c r="B2" s="159" t="s">
        <v>461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customFormat="false" ht="15" hidden="false" customHeight="false" outlineLevel="0" collapsed="false">
      <c r="A3" s="158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</row>
    <row r="4" customFormat="false" ht="42" hidden="false" customHeight="true" outlineLevel="0" collapsed="false">
      <c r="A4" s="160" t="s">
        <v>78</v>
      </c>
      <c r="B4" s="160" t="s">
        <v>462</v>
      </c>
      <c r="C4" s="160" t="s">
        <v>67</v>
      </c>
      <c r="D4" s="160" t="s">
        <v>463</v>
      </c>
      <c r="E4" s="160" t="s">
        <v>256</v>
      </c>
      <c r="F4" s="160" t="s">
        <v>464</v>
      </c>
      <c r="G4" s="160" t="s">
        <v>465</v>
      </c>
      <c r="H4" s="160" t="s">
        <v>466</v>
      </c>
      <c r="I4" s="160" t="s">
        <v>467</v>
      </c>
      <c r="J4" s="160" t="s">
        <v>468</v>
      </c>
      <c r="K4" s="160" t="s">
        <v>469</v>
      </c>
      <c r="L4" s="160" t="s">
        <v>470</v>
      </c>
      <c r="M4" s="160" t="s">
        <v>471</v>
      </c>
      <c r="N4" s="160" t="s">
        <v>472</v>
      </c>
      <c r="O4" s="160" t="s">
        <v>473</v>
      </c>
      <c r="P4" s="160" t="s">
        <v>474</v>
      </c>
      <c r="Q4" s="160" t="s">
        <v>81</v>
      </c>
      <c r="R4" s="160" t="s">
        <v>259</v>
      </c>
    </row>
    <row r="5" customFormat="false" ht="15" hidden="false" customHeight="false" outlineLevel="0" collapsed="false">
      <c r="A5" s="164" t="s">
        <v>475</v>
      </c>
      <c r="B5" s="164" t="s">
        <v>476</v>
      </c>
      <c r="C5" s="164" t="s">
        <v>375</v>
      </c>
      <c r="D5" s="164" t="s">
        <v>477</v>
      </c>
      <c r="E5" s="164" t="s">
        <v>478</v>
      </c>
      <c r="F5" s="165" t="n">
        <v>0</v>
      </c>
      <c r="G5" s="164" t="s">
        <v>479</v>
      </c>
      <c r="H5" s="165" t="n">
        <v>1.5</v>
      </c>
      <c r="I5" s="165" t="n">
        <v>22000</v>
      </c>
      <c r="J5" s="165" t="n">
        <v>26000</v>
      </c>
      <c r="K5" s="165" t="n">
        <v>2800</v>
      </c>
      <c r="L5" s="165" t="n">
        <v>1600</v>
      </c>
      <c r="M5" s="165" t="n">
        <v>600</v>
      </c>
      <c r="N5" s="165" t="n">
        <v>1600</v>
      </c>
      <c r="O5" s="165" t="n">
        <v>150</v>
      </c>
      <c r="P5" s="165" t="n">
        <v>1500</v>
      </c>
      <c r="Q5" s="164" t="s">
        <v>480</v>
      </c>
      <c r="R5" s="164" t="s">
        <v>481</v>
      </c>
    </row>
    <row r="6" customFormat="false" ht="15" hidden="false" customHeight="false" outlineLevel="0" collapsed="false">
      <c r="A6" s="164" t="s">
        <v>482</v>
      </c>
      <c r="B6" s="164" t="s">
        <v>476</v>
      </c>
      <c r="C6" s="164" t="s">
        <v>385</v>
      </c>
      <c r="D6" s="164" t="s">
        <v>483</v>
      </c>
      <c r="E6" s="164" t="s">
        <v>484</v>
      </c>
      <c r="F6" s="165" t="n">
        <v>2600</v>
      </c>
      <c r="G6" s="164" t="s">
        <v>485</v>
      </c>
      <c r="H6" s="165" t="n">
        <v>2.5</v>
      </c>
      <c r="I6" s="165" t="n">
        <v>30000</v>
      </c>
      <c r="J6" s="165" t="n">
        <v>34000</v>
      </c>
      <c r="K6" s="165" t="n">
        <v>2800</v>
      </c>
      <c r="L6" s="165" t="n">
        <v>1300</v>
      </c>
      <c r="M6" s="165" t="n">
        <v>900</v>
      </c>
      <c r="N6" s="165" t="n">
        <v>1600</v>
      </c>
      <c r="O6" s="165" t="n">
        <v>150</v>
      </c>
      <c r="P6" s="165" t="n">
        <v>1500</v>
      </c>
      <c r="Q6" s="164" t="s">
        <v>486</v>
      </c>
      <c r="R6" s="164" t="s">
        <v>487</v>
      </c>
    </row>
    <row r="7" customFormat="false" ht="15" hidden="false" customHeight="false" outlineLevel="0" collapsed="false">
      <c r="A7" s="164" t="s">
        <v>241</v>
      </c>
      <c r="B7" s="164" t="s">
        <v>476</v>
      </c>
      <c r="C7" s="164" t="s">
        <v>388</v>
      </c>
      <c r="D7" s="164" t="s">
        <v>488</v>
      </c>
      <c r="E7" s="164" t="s">
        <v>489</v>
      </c>
      <c r="F7" s="165" t="n">
        <v>2400</v>
      </c>
      <c r="G7" s="164" t="s">
        <v>490</v>
      </c>
      <c r="H7" s="165" t="n">
        <v>1.5</v>
      </c>
      <c r="I7" s="165" t="n">
        <v>24000</v>
      </c>
      <c r="J7" s="165" t="n">
        <v>30000</v>
      </c>
      <c r="K7" s="165" t="n">
        <v>2200</v>
      </c>
      <c r="L7" s="165" t="n">
        <v>1100</v>
      </c>
      <c r="M7" s="165" t="n">
        <v>600</v>
      </c>
      <c r="N7" s="165" t="n">
        <v>1300</v>
      </c>
      <c r="O7" s="165" t="n">
        <v>150</v>
      </c>
      <c r="P7" s="165" t="n">
        <v>1500</v>
      </c>
      <c r="Q7" s="164" t="s">
        <v>491</v>
      </c>
      <c r="R7" s="164" t="s">
        <v>492</v>
      </c>
    </row>
    <row r="8" customFormat="false" ht="15" hidden="false" customHeight="false" outlineLevel="0" collapsed="false">
      <c r="A8" s="164" t="s">
        <v>493</v>
      </c>
      <c r="B8" s="164" t="s">
        <v>476</v>
      </c>
      <c r="C8" s="164" t="s">
        <v>380</v>
      </c>
      <c r="D8" s="164" t="s">
        <v>494</v>
      </c>
      <c r="E8" s="164" t="s">
        <v>495</v>
      </c>
      <c r="F8" s="165" t="n">
        <v>0</v>
      </c>
      <c r="G8" s="164" t="s">
        <v>496</v>
      </c>
      <c r="H8" s="165" t="n">
        <v>2.5</v>
      </c>
      <c r="I8" s="165" t="n">
        <v>19000</v>
      </c>
      <c r="J8" s="165" t="n">
        <v>26000</v>
      </c>
      <c r="K8" s="165" t="n">
        <v>2800</v>
      </c>
      <c r="L8" s="165" t="n">
        <v>1300</v>
      </c>
      <c r="M8" s="165" t="n">
        <v>600</v>
      </c>
      <c r="N8" s="165" t="n">
        <v>1300</v>
      </c>
      <c r="O8" s="165" t="n">
        <v>150</v>
      </c>
      <c r="P8" s="165" t="n">
        <v>1500</v>
      </c>
      <c r="Q8" s="164" t="s">
        <v>497</v>
      </c>
      <c r="R8" s="164" t="s">
        <v>498</v>
      </c>
    </row>
    <row r="9" customFormat="false" ht="15" hidden="false" customHeight="false" outlineLevel="0" collapsed="false">
      <c r="A9" s="164" t="s">
        <v>499</v>
      </c>
      <c r="B9" s="164" t="s">
        <v>476</v>
      </c>
      <c r="C9" s="164" t="s">
        <v>369</v>
      </c>
      <c r="D9" s="164" t="s">
        <v>500</v>
      </c>
      <c r="E9" s="164" t="s">
        <v>501</v>
      </c>
      <c r="F9" s="165" t="n">
        <v>3000</v>
      </c>
      <c r="G9" s="164" t="s">
        <v>496</v>
      </c>
      <c r="H9" s="165" t="n">
        <v>2.5</v>
      </c>
      <c r="I9" s="165" t="n">
        <v>22000</v>
      </c>
      <c r="J9" s="165" t="n">
        <v>30000</v>
      </c>
      <c r="K9" s="165" t="n">
        <v>6500</v>
      </c>
      <c r="L9" s="165" t="n">
        <v>2800</v>
      </c>
      <c r="M9" s="165" t="n">
        <v>900</v>
      </c>
      <c r="N9" s="165" t="n">
        <v>3500</v>
      </c>
      <c r="O9" s="165" t="n">
        <v>150</v>
      </c>
      <c r="P9" s="165" t="n">
        <v>1500</v>
      </c>
      <c r="Q9" s="164" t="s">
        <v>502</v>
      </c>
      <c r="R9" s="164" t="s">
        <v>503</v>
      </c>
    </row>
    <row r="10" customFormat="false" ht="15" hidden="false" customHeight="false" outlineLevel="0" collapsed="false">
      <c r="A10" s="164" t="s">
        <v>504</v>
      </c>
      <c r="B10" s="164" t="s">
        <v>476</v>
      </c>
      <c r="C10" s="164" t="s">
        <v>391</v>
      </c>
      <c r="D10" s="164" t="s">
        <v>505</v>
      </c>
      <c r="E10" s="164" t="s">
        <v>506</v>
      </c>
      <c r="F10" s="165" t="n">
        <v>0</v>
      </c>
      <c r="G10" s="164" t="s">
        <v>507</v>
      </c>
      <c r="H10" s="165" t="n">
        <v>0</v>
      </c>
      <c r="I10" s="165" t="n">
        <v>16000</v>
      </c>
      <c r="J10" s="165" t="n">
        <v>24000</v>
      </c>
      <c r="K10" s="165" t="n">
        <v>2800</v>
      </c>
      <c r="L10" s="165" t="n">
        <v>1300</v>
      </c>
      <c r="M10" s="165" t="n">
        <v>1100</v>
      </c>
      <c r="N10" s="165" t="n">
        <v>1300</v>
      </c>
      <c r="O10" s="165" t="n">
        <v>150</v>
      </c>
      <c r="P10" s="165" t="n">
        <v>1200</v>
      </c>
      <c r="Q10" s="164" t="s">
        <v>508</v>
      </c>
      <c r="R10" s="164" t="s">
        <v>509</v>
      </c>
    </row>
    <row r="11" customFormat="false" ht="15" hidden="false" customHeight="false" outlineLevel="0" collapsed="false">
      <c r="A11" s="164" t="s">
        <v>510</v>
      </c>
      <c r="B11" s="164" t="s">
        <v>476</v>
      </c>
      <c r="C11" s="164" t="s">
        <v>393</v>
      </c>
      <c r="D11" s="164" t="s">
        <v>511</v>
      </c>
      <c r="E11" s="164" t="s">
        <v>512</v>
      </c>
      <c r="F11" s="165" t="n">
        <v>0</v>
      </c>
      <c r="G11" s="164" t="s">
        <v>507</v>
      </c>
      <c r="H11" s="165" t="n">
        <v>-0.5</v>
      </c>
      <c r="I11" s="165" t="n">
        <v>26000</v>
      </c>
      <c r="J11" s="165" t="n">
        <v>24000</v>
      </c>
      <c r="K11" s="165" t="n">
        <v>13000</v>
      </c>
      <c r="L11" s="165" t="n">
        <v>4500</v>
      </c>
      <c r="M11" s="165" t="n">
        <v>3200</v>
      </c>
      <c r="N11" s="165" t="n">
        <v>4500</v>
      </c>
      <c r="O11" s="165" t="n">
        <v>200</v>
      </c>
      <c r="P11" s="165" t="n">
        <v>1500</v>
      </c>
      <c r="Q11" s="164" t="s">
        <v>513</v>
      </c>
      <c r="R11" s="164" t="s">
        <v>514</v>
      </c>
    </row>
    <row r="12" customFormat="false" ht="15" hidden="false" customHeight="false" outlineLevel="0" collapsed="false">
      <c r="A12" s="164" t="s">
        <v>515</v>
      </c>
      <c r="B12" s="164" t="s">
        <v>476</v>
      </c>
      <c r="C12" s="164" t="s">
        <v>396</v>
      </c>
      <c r="D12" s="164" t="s">
        <v>516</v>
      </c>
      <c r="E12" s="164" t="s">
        <v>517</v>
      </c>
      <c r="F12" s="165" t="n">
        <v>0</v>
      </c>
      <c r="G12" s="164" t="s">
        <v>518</v>
      </c>
      <c r="H12" s="165" t="n">
        <v>0.25</v>
      </c>
      <c r="I12" s="165" t="n">
        <v>12000</v>
      </c>
      <c r="J12" s="165" t="n">
        <v>22000</v>
      </c>
      <c r="K12" s="165" t="n">
        <v>1700</v>
      </c>
      <c r="L12" s="165" t="n">
        <v>900</v>
      </c>
      <c r="M12" s="165" t="n">
        <v>600</v>
      </c>
      <c r="N12" s="165" t="n">
        <v>1100</v>
      </c>
      <c r="O12" s="165" t="n">
        <v>120</v>
      </c>
      <c r="P12" s="165" t="n">
        <v>800</v>
      </c>
      <c r="Q12" s="164" t="s">
        <v>508</v>
      </c>
      <c r="R12" s="164" t="s">
        <v>519</v>
      </c>
    </row>
    <row r="13" customFormat="false" ht="15" hidden="false" customHeight="false" outlineLevel="0" collapsed="false">
      <c r="A13" s="164" t="s">
        <v>243</v>
      </c>
      <c r="B13" s="164" t="s">
        <v>476</v>
      </c>
      <c r="C13" s="164" t="s">
        <v>399</v>
      </c>
      <c r="D13" s="164" t="s">
        <v>520</v>
      </c>
      <c r="E13" s="164" t="s">
        <v>521</v>
      </c>
      <c r="F13" s="165" t="n">
        <v>1500</v>
      </c>
      <c r="G13" s="164" t="s">
        <v>522</v>
      </c>
      <c r="H13" s="165" t="n">
        <v>3.5</v>
      </c>
      <c r="I13" s="165" t="n">
        <v>52000</v>
      </c>
      <c r="J13" s="165" t="n">
        <v>58000</v>
      </c>
      <c r="K13" s="165" t="n">
        <v>6500</v>
      </c>
      <c r="L13" s="165" t="n">
        <v>3200</v>
      </c>
      <c r="M13" s="165" t="n">
        <v>1600</v>
      </c>
      <c r="N13" s="165" t="n">
        <v>2700</v>
      </c>
      <c r="O13" s="165" t="n">
        <v>200</v>
      </c>
      <c r="P13" s="165" t="n">
        <v>1800</v>
      </c>
      <c r="Q13" s="164" t="s">
        <v>523</v>
      </c>
      <c r="R13" s="164" t="s">
        <v>524</v>
      </c>
    </row>
    <row r="14" customFormat="false" ht="15" hidden="false" customHeight="false" outlineLevel="0" collapsed="false">
      <c r="A14" s="164" t="s">
        <v>525</v>
      </c>
      <c r="B14" s="164" t="s">
        <v>476</v>
      </c>
      <c r="C14" s="164" t="s">
        <v>402</v>
      </c>
      <c r="D14" s="164" t="s">
        <v>526</v>
      </c>
      <c r="E14" s="164" t="s">
        <v>527</v>
      </c>
      <c r="F14" s="165" t="n">
        <v>4000</v>
      </c>
      <c r="G14" s="164" t="s">
        <v>485</v>
      </c>
      <c r="H14" s="165" t="n">
        <v>3.5</v>
      </c>
      <c r="I14" s="165" t="n">
        <v>47000</v>
      </c>
      <c r="J14" s="165" t="n">
        <v>52000</v>
      </c>
      <c r="K14" s="165" t="n">
        <v>5500</v>
      </c>
      <c r="L14" s="165" t="n">
        <v>2700</v>
      </c>
      <c r="M14" s="165" t="n">
        <v>1100</v>
      </c>
      <c r="N14" s="165" t="n">
        <v>2200</v>
      </c>
      <c r="O14" s="165" t="n">
        <v>200</v>
      </c>
      <c r="P14" s="165" t="n">
        <v>1800</v>
      </c>
      <c r="Q14" s="164" t="s">
        <v>523</v>
      </c>
      <c r="R14" s="164" t="s">
        <v>528</v>
      </c>
    </row>
    <row r="15" customFormat="false" ht="15" hidden="false" customHeight="false" outlineLevel="0" collapsed="false">
      <c r="A15" s="164" t="s">
        <v>529</v>
      </c>
      <c r="B15" s="164" t="s">
        <v>476</v>
      </c>
      <c r="C15" s="164" t="s">
        <v>405</v>
      </c>
      <c r="D15" s="164" t="s">
        <v>494</v>
      </c>
      <c r="E15" s="164" t="s">
        <v>530</v>
      </c>
      <c r="F15" s="165" t="n">
        <v>0</v>
      </c>
      <c r="G15" s="164" t="s">
        <v>496</v>
      </c>
      <c r="H15" s="165" t="n">
        <v>2.5</v>
      </c>
      <c r="I15" s="165" t="n">
        <v>32000</v>
      </c>
      <c r="J15" s="165" t="n">
        <v>38000</v>
      </c>
      <c r="K15" s="165" t="n">
        <v>7500</v>
      </c>
      <c r="L15" s="165" t="n">
        <v>3200</v>
      </c>
      <c r="M15" s="165" t="n">
        <v>900</v>
      </c>
      <c r="N15" s="165" t="n">
        <v>2700</v>
      </c>
      <c r="O15" s="165" t="n">
        <v>200</v>
      </c>
      <c r="P15" s="165" t="n">
        <v>1500</v>
      </c>
      <c r="Q15" s="164" t="s">
        <v>531</v>
      </c>
      <c r="R15" s="164" t="s">
        <v>532</v>
      </c>
    </row>
    <row r="16" customFormat="false" ht="15" hidden="false" customHeight="false" outlineLevel="0" collapsed="false">
      <c r="A16" s="164" t="s">
        <v>533</v>
      </c>
      <c r="B16" s="164" t="s">
        <v>476</v>
      </c>
      <c r="C16" s="164" t="s">
        <v>408</v>
      </c>
      <c r="D16" s="164" t="s">
        <v>534</v>
      </c>
      <c r="E16" s="164" t="s">
        <v>535</v>
      </c>
      <c r="F16" s="165" t="n">
        <v>0</v>
      </c>
      <c r="G16" s="164" t="s">
        <v>536</v>
      </c>
      <c r="H16" s="165" t="n">
        <v>2.5</v>
      </c>
      <c r="I16" s="165" t="n">
        <v>30000</v>
      </c>
      <c r="J16" s="165" t="n">
        <v>32000</v>
      </c>
      <c r="K16" s="165" t="n">
        <v>3000</v>
      </c>
      <c r="L16" s="165" t="n">
        <v>1300</v>
      </c>
      <c r="M16" s="165" t="n">
        <v>700</v>
      </c>
      <c r="N16" s="165" t="n">
        <v>1500</v>
      </c>
      <c r="O16" s="165" t="n">
        <v>150</v>
      </c>
      <c r="P16" s="165" t="n">
        <v>1500</v>
      </c>
      <c r="Q16" s="164" t="s">
        <v>537</v>
      </c>
      <c r="R16" s="164" t="s">
        <v>538</v>
      </c>
    </row>
    <row r="17" customFormat="false" ht="15" hidden="false" customHeight="false" outlineLevel="0" collapsed="false">
      <c r="A17" s="164" t="s">
        <v>539</v>
      </c>
      <c r="B17" s="164" t="s">
        <v>540</v>
      </c>
      <c r="C17" s="164" t="s">
        <v>410</v>
      </c>
      <c r="D17" s="164" t="s">
        <v>483</v>
      </c>
      <c r="E17" s="164" t="s">
        <v>535</v>
      </c>
      <c r="F17" s="165" t="n">
        <v>0</v>
      </c>
      <c r="G17" s="164" t="s">
        <v>485</v>
      </c>
      <c r="H17" s="165" t="n">
        <v>-0.5</v>
      </c>
      <c r="I17" s="165" t="n">
        <v>30000</v>
      </c>
      <c r="J17" s="165" t="n">
        <v>24000</v>
      </c>
      <c r="K17" s="165" t="n">
        <v>3300</v>
      </c>
      <c r="L17" s="165" t="n">
        <v>1600</v>
      </c>
      <c r="M17" s="165" t="n">
        <v>600</v>
      </c>
      <c r="N17" s="165" t="n">
        <v>1300</v>
      </c>
      <c r="O17" s="165" t="n">
        <v>150</v>
      </c>
      <c r="P17" s="165" t="n">
        <v>1500</v>
      </c>
      <c r="Q17" s="164" t="s">
        <v>541</v>
      </c>
      <c r="R17" s="164" t="s">
        <v>542</v>
      </c>
    </row>
    <row r="18" customFormat="false" ht="15" hidden="false" customHeight="false" outlineLevel="0" collapsed="false">
      <c r="A18" s="164" t="s">
        <v>242</v>
      </c>
      <c r="B18" s="164" t="s">
        <v>543</v>
      </c>
      <c r="C18" s="164" t="s">
        <v>412</v>
      </c>
      <c r="D18" s="164" t="s">
        <v>483</v>
      </c>
      <c r="E18" s="164" t="s">
        <v>544</v>
      </c>
      <c r="F18" s="165" t="n">
        <v>1900</v>
      </c>
      <c r="G18" s="164" t="s">
        <v>485</v>
      </c>
      <c r="H18" s="165" t="n">
        <v>-1.5</v>
      </c>
      <c r="I18" s="165" t="n">
        <v>32000</v>
      </c>
      <c r="J18" s="165" t="n">
        <v>19000</v>
      </c>
      <c r="K18" s="165" t="n">
        <v>2800</v>
      </c>
      <c r="L18" s="165" t="n">
        <v>1600</v>
      </c>
      <c r="M18" s="165" t="n">
        <v>600</v>
      </c>
      <c r="N18" s="165" t="n">
        <v>1300</v>
      </c>
      <c r="O18" s="165" t="n">
        <v>150</v>
      </c>
      <c r="P18" s="165" t="n">
        <v>1500</v>
      </c>
      <c r="Q18" s="164" t="s">
        <v>545</v>
      </c>
      <c r="R18" s="164" t="s">
        <v>546</v>
      </c>
    </row>
    <row r="19" customFormat="false" ht="15" hidden="false" customHeight="false" outlineLevel="0" collapsed="false">
      <c r="A19" s="164" t="s">
        <v>547</v>
      </c>
      <c r="B19" s="164" t="s">
        <v>543</v>
      </c>
      <c r="C19" s="164" t="s">
        <v>414</v>
      </c>
      <c r="D19" s="164" t="s">
        <v>483</v>
      </c>
      <c r="E19" s="164" t="s">
        <v>548</v>
      </c>
      <c r="F19" s="165" t="n">
        <v>2500</v>
      </c>
      <c r="G19" s="164" t="s">
        <v>485</v>
      </c>
      <c r="H19" s="165" t="n">
        <v>-1.5</v>
      </c>
      <c r="I19" s="165" t="n">
        <v>32000</v>
      </c>
      <c r="J19" s="165" t="n">
        <v>19000</v>
      </c>
      <c r="K19" s="165" t="n">
        <v>3300</v>
      </c>
      <c r="L19" s="165" t="n">
        <v>1600</v>
      </c>
      <c r="M19" s="165" t="n">
        <v>600</v>
      </c>
      <c r="N19" s="165" t="n">
        <v>1300</v>
      </c>
      <c r="O19" s="165" t="n">
        <v>150</v>
      </c>
      <c r="P19" s="165" t="n">
        <v>1500</v>
      </c>
      <c r="Q19" s="164" t="s">
        <v>549</v>
      </c>
      <c r="R19" s="164" t="s">
        <v>550</v>
      </c>
    </row>
    <row r="20" customFormat="false" ht="15" hidden="false" customHeight="false" outlineLevel="0" collapsed="false">
      <c r="A20" s="164" t="s">
        <v>551</v>
      </c>
      <c r="B20" s="164" t="s">
        <v>552</v>
      </c>
      <c r="C20" s="164" t="s">
        <v>416</v>
      </c>
      <c r="D20" s="164" t="s">
        <v>483</v>
      </c>
      <c r="E20" s="164" t="s">
        <v>553</v>
      </c>
      <c r="F20" s="165" t="n">
        <v>5700</v>
      </c>
      <c r="G20" s="164" t="s">
        <v>485</v>
      </c>
      <c r="H20" s="165" t="n">
        <v>-2.5</v>
      </c>
      <c r="I20" s="165" t="n">
        <v>42000</v>
      </c>
      <c r="J20" s="165" t="n">
        <v>26000</v>
      </c>
      <c r="K20" s="165" t="n">
        <v>3800</v>
      </c>
      <c r="L20" s="165" t="n">
        <v>2000</v>
      </c>
      <c r="M20" s="165" t="n">
        <v>900</v>
      </c>
      <c r="N20" s="165" t="n">
        <v>2200</v>
      </c>
      <c r="O20" s="165" t="n">
        <v>200</v>
      </c>
      <c r="P20" s="165" t="n">
        <v>1500</v>
      </c>
      <c r="Q20" s="164" t="s">
        <v>554</v>
      </c>
      <c r="R20" s="164" t="s">
        <v>555</v>
      </c>
    </row>
    <row r="21" customFormat="false" ht="15" hidden="false" customHeight="false" outlineLevel="0" collapsed="false">
      <c r="A21" s="164" t="s">
        <v>345</v>
      </c>
      <c r="B21" s="164" t="s">
        <v>556</v>
      </c>
      <c r="C21" s="164" t="s">
        <v>346</v>
      </c>
      <c r="D21" s="164" t="s">
        <v>557</v>
      </c>
      <c r="E21" s="164" t="s">
        <v>558</v>
      </c>
      <c r="F21" s="165" t="n">
        <v>9000</v>
      </c>
      <c r="G21" s="164" t="s">
        <v>496</v>
      </c>
      <c r="H21" s="165" t="n">
        <v>-1.5</v>
      </c>
      <c r="I21" s="165" t="n">
        <v>18000</v>
      </c>
      <c r="J21" s="165" t="n">
        <v>0</v>
      </c>
      <c r="K21" s="165" t="n">
        <v>5500</v>
      </c>
      <c r="L21" s="165" t="n">
        <v>2700</v>
      </c>
      <c r="M21" s="165" t="n">
        <v>1100</v>
      </c>
      <c r="N21" s="165" t="n">
        <v>3300</v>
      </c>
      <c r="O21" s="165" t="n">
        <v>150</v>
      </c>
      <c r="P21" s="165" t="n">
        <v>1500</v>
      </c>
      <c r="Q21" s="164" t="s">
        <v>559</v>
      </c>
      <c r="R21" s="164" t="s">
        <v>560</v>
      </c>
    </row>
    <row r="22" customFormat="false" ht="15" hidden="false" customHeight="false" outlineLevel="0" collapsed="false">
      <c r="A22" s="164" t="s">
        <v>561</v>
      </c>
      <c r="B22" s="164" t="s">
        <v>556</v>
      </c>
      <c r="C22" s="164" t="s">
        <v>418</v>
      </c>
      <c r="D22" s="164" t="s">
        <v>562</v>
      </c>
      <c r="E22" s="164" t="s">
        <v>563</v>
      </c>
      <c r="F22" s="165" t="n">
        <v>5000</v>
      </c>
      <c r="G22" s="164" t="s">
        <v>496</v>
      </c>
      <c r="H22" s="165" t="n">
        <v>-1.5</v>
      </c>
      <c r="I22" s="165" t="n">
        <v>16000</v>
      </c>
      <c r="J22" s="165" t="n">
        <v>7000</v>
      </c>
      <c r="K22" s="165" t="n">
        <v>4500</v>
      </c>
      <c r="L22" s="165" t="n">
        <v>2200</v>
      </c>
      <c r="M22" s="165" t="n">
        <v>1600</v>
      </c>
      <c r="N22" s="165" t="n">
        <v>1600</v>
      </c>
      <c r="O22" s="165" t="n">
        <v>150</v>
      </c>
      <c r="P22" s="165" t="n">
        <v>1500</v>
      </c>
      <c r="Q22" s="164" t="s">
        <v>497</v>
      </c>
      <c r="R22" s="164" t="s">
        <v>564</v>
      </c>
    </row>
    <row r="23" customFormat="false" ht="15" hidden="false" customHeight="false" outlineLevel="0" collapsed="false">
      <c r="A23" s="164" t="s">
        <v>565</v>
      </c>
      <c r="B23" s="164" t="s">
        <v>556</v>
      </c>
      <c r="C23" s="164" t="s">
        <v>420</v>
      </c>
      <c r="D23" s="164" t="s">
        <v>494</v>
      </c>
      <c r="E23" s="164" t="s">
        <v>566</v>
      </c>
      <c r="F23" s="165" t="n">
        <v>0</v>
      </c>
      <c r="G23" s="164" t="s">
        <v>496</v>
      </c>
      <c r="H23" s="165" t="n">
        <v>-2.5</v>
      </c>
      <c r="I23" s="165" t="n">
        <v>22000</v>
      </c>
      <c r="J23" s="165" t="n">
        <v>9000</v>
      </c>
      <c r="K23" s="165" t="n">
        <v>6500</v>
      </c>
      <c r="L23" s="165" t="n">
        <v>2700</v>
      </c>
      <c r="M23" s="165" t="n">
        <v>1300</v>
      </c>
      <c r="N23" s="165" t="n">
        <v>2700</v>
      </c>
      <c r="O23" s="165" t="n">
        <v>150</v>
      </c>
      <c r="P23" s="165" t="n">
        <v>1500</v>
      </c>
      <c r="Q23" s="164" t="s">
        <v>567</v>
      </c>
      <c r="R23" s="164" t="s">
        <v>568</v>
      </c>
    </row>
    <row r="24" customFormat="false" ht="15" hidden="false" customHeight="false" outlineLevel="0" collapsed="false">
      <c r="A24" s="164" t="s">
        <v>569</v>
      </c>
      <c r="B24" s="164" t="s">
        <v>556</v>
      </c>
      <c r="C24" s="164" t="s">
        <v>422</v>
      </c>
      <c r="D24" s="164" t="s">
        <v>534</v>
      </c>
      <c r="E24" s="164" t="s">
        <v>570</v>
      </c>
      <c r="F24" s="165" t="n">
        <v>13600</v>
      </c>
      <c r="G24" s="164" t="s">
        <v>496</v>
      </c>
      <c r="H24" s="165" t="n">
        <v>-2.5</v>
      </c>
      <c r="I24" s="165" t="n">
        <v>24000</v>
      </c>
      <c r="J24" s="165" t="n">
        <v>13000</v>
      </c>
      <c r="K24" s="165" t="n">
        <v>5500</v>
      </c>
      <c r="L24" s="165" t="n">
        <v>2200</v>
      </c>
      <c r="M24" s="165" t="n">
        <v>1300</v>
      </c>
      <c r="N24" s="165" t="n">
        <v>2200</v>
      </c>
      <c r="O24" s="165" t="n">
        <v>150</v>
      </c>
      <c r="P24" s="165" t="n">
        <v>1500</v>
      </c>
      <c r="Q24" s="164" t="s">
        <v>497</v>
      </c>
      <c r="R24" s="164" t="s">
        <v>571</v>
      </c>
    </row>
    <row r="25" customFormat="false" ht="15" hidden="false" customHeight="false" outlineLevel="0" collapsed="false">
      <c r="A25" s="164" t="s">
        <v>572</v>
      </c>
      <c r="B25" s="164" t="s">
        <v>573</v>
      </c>
      <c r="C25" s="164" t="s">
        <v>429</v>
      </c>
      <c r="D25" s="164" t="s">
        <v>574</v>
      </c>
      <c r="E25" s="164" t="s">
        <v>575</v>
      </c>
      <c r="F25" s="165" t="n">
        <v>2400</v>
      </c>
      <c r="G25" s="164" t="s">
        <v>485</v>
      </c>
      <c r="H25" s="165" t="n">
        <v>-3.5</v>
      </c>
      <c r="I25" s="165" t="n">
        <v>42000</v>
      </c>
      <c r="J25" s="165" t="n">
        <v>22000</v>
      </c>
      <c r="K25" s="165" t="n">
        <v>3300</v>
      </c>
      <c r="L25" s="165" t="n">
        <v>1600</v>
      </c>
      <c r="M25" s="165" t="n">
        <v>800</v>
      </c>
      <c r="N25" s="165" t="n">
        <v>2200</v>
      </c>
      <c r="O25" s="165" t="n">
        <v>150</v>
      </c>
      <c r="P25" s="165" t="n">
        <v>1500</v>
      </c>
      <c r="Q25" s="164" t="s">
        <v>576</v>
      </c>
      <c r="R25" s="164" t="s">
        <v>577</v>
      </c>
    </row>
    <row r="26" customFormat="false" ht="15" hidden="false" customHeight="false" outlineLevel="0" collapsed="false">
      <c r="A26" s="164" t="s">
        <v>578</v>
      </c>
      <c r="B26" s="164" t="s">
        <v>573</v>
      </c>
      <c r="C26" s="164" t="s">
        <v>431</v>
      </c>
      <c r="D26" s="164" t="s">
        <v>579</v>
      </c>
      <c r="E26" s="164" t="s">
        <v>580</v>
      </c>
      <c r="F26" s="165" t="n">
        <v>0</v>
      </c>
      <c r="G26" s="164" t="s">
        <v>581</v>
      </c>
      <c r="H26" s="165" t="n">
        <v>-1.5</v>
      </c>
      <c r="I26" s="165" t="n">
        <v>47000</v>
      </c>
      <c r="J26" s="165" t="n">
        <v>42000</v>
      </c>
      <c r="K26" s="165" t="n">
        <v>6500</v>
      </c>
      <c r="L26" s="165" t="n">
        <v>2700</v>
      </c>
      <c r="M26" s="165" t="n">
        <v>1300</v>
      </c>
      <c r="N26" s="165" t="n">
        <v>2700</v>
      </c>
      <c r="O26" s="165" t="n">
        <v>200</v>
      </c>
      <c r="P26" s="165" t="n">
        <v>1500</v>
      </c>
      <c r="Q26" s="164" t="s">
        <v>559</v>
      </c>
      <c r="R26" s="164" t="s">
        <v>582</v>
      </c>
    </row>
    <row r="27" customFormat="false" ht="15" hidden="false" customHeight="false" outlineLevel="0" collapsed="false">
      <c r="A27" s="164" t="s">
        <v>583</v>
      </c>
      <c r="B27" s="164" t="s">
        <v>552</v>
      </c>
      <c r="C27" s="164" t="s">
        <v>364</v>
      </c>
      <c r="D27" s="164" t="s">
        <v>494</v>
      </c>
      <c r="E27" s="164" t="s">
        <v>584</v>
      </c>
      <c r="F27" s="165" t="n">
        <v>17000</v>
      </c>
      <c r="G27" s="164" t="s">
        <v>496</v>
      </c>
      <c r="H27" s="165" t="n">
        <v>-5.5</v>
      </c>
      <c r="I27" s="165" t="n">
        <v>62000</v>
      </c>
      <c r="J27" s="165" t="n">
        <v>46000</v>
      </c>
      <c r="K27" s="165" t="n">
        <v>8800</v>
      </c>
      <c r="L27" s="165" t="n">
        <v>3800</v>
      </c>
      <c r="M27" s="165" t="n">
        <v>1700</v>
      </c>
      <c r="N27" s="165" t="n">
        <v>3300</v>
      </c>
      <c r="O27" s="165" t="n">
        <v>300</v>
      </c>
      <c r="P27" s="165" t="n">
        <v>2000</v>
      </c>
      <c r="Q27" s="164" t="s">
        <v>585</v>
      </c>
      <c r="R27" s="164" t="s">
        <v>586</v>
      </c>
    </row>
    <row r="28" customFormat="false" ht="15" hidden="false" customHeight="false" outlineLevel="0" collapsed="false">
      <c r="A28" s="164" t="s">
        <v>587</v>
      </c>
      <c r="B28" s="164" t="s">
        <v>552</v>
      </c>
      <c r="C28" s="164" t="s">
        <v>105</v>
      </c>
      <c r="D28" s="164" t="s">
        <v>483</v>
      </c>
      <c r="E28" s="164" t="s">
        <v>588</v>
      </c>
      <c r="F28" s="165" t="n">
        <v>11500</v>
      </c>
      <c r="G28" s="164" t="s">
        <v>589</v>
      </c>
      <c r="H28" s="165" t="n">
        <v>-4.5</v>
      </c>
      <c r="I28" s="165" t="n">
        <v>58000</v>
      </c>
      <c r="J28" s="165" t="n">
        <v>44000</v>
      </c>
      <c r="K28" s="165" t="n">
        <v>8800</v>
      </c>
      <c r="L28" s="165" t="n">
        <v>3800</v>
      </c>
      <c r="M28" s="165" t="n">
        <v>1300</v>
      </c>
      <c r="N28" s="165" t="n">
        <v>3300</v>
      </c>
      <c r="O28" s="165" t="n">
        <v>300</v>
      </c>
      <c r="P28" s="165" t="n">
        <v>2000</v>
      </c>
      <c r="Q28" s="164" t="s">
        <v>590</v>
      </c>
      <c r="R28" s="164" t="s">
        <v>591</v>
      </c>
    </row>
    <row r="29" customFormat="false" ht="15" hidden="false" customHeight="false" outlineLevel="0" collapsed="false">
      <c r="A29" s="164" t="s">
        <v>592</v>
      </c>
      <c r="B29" s="164" t="s">
        <v>552</v>
      </c>
      <c r="C29" s="164" t="s">
        <v>105</v>
      </c>
      <c r="D29" s="164" t="s">
        <v>483</v>
      </c>
      <c r="E29" s="164" t="s">
        <v>588</v>
      </c>
      <c r="F29" s="165" t="n">
        <v>11500</v>
      </c>
      <c r="G29" s="164" t="s">
        <v>593</v>
      </c>
      <c r="H29" s="165" t="n">
        <v>-4.5</v>
      </c>
      <c r="I29" s="165" t="n">
        <v>58000</v>
      </c>
      <c r="J29" s="165" t="n">
        <v>44000</v>
      </c>
      <c r="K29" s="165" t="n">
        <v>7700</v>
      </c>
      <c r="L29" s="165" t="n">
        <v>3500</v>
      </c>
      <c r="M29" s="165" t="n">
        <v>1300</v>
      </c>
      <c r="N29" s="165" t="n">
        <v>3300</v>
      </c>
      <c r="O29" s="165" t="n">
        <v>300</v>
      </c>
      <c r="P29" s="165" t="n">
        <v>2000</v>
      </c>
      <c r="Q29" s="164" t="s">
        <v>594</v>
      </c>
      <c r="R29" s="164" t="s">
        <v>595</v>
      </c>
    </row>
    <row r="30" customFormat="false" ht="15" hidden="false" customHeight="false" outlineLevel="0" collapsed="false">
      <c r="A30" s="164" t="s">
        <v>596</v>
      </c>
      <c r="B30" s="164" t="s">
        <v>552</v>
      </c>
      <c r="C30" s="164" t="s">
        <v>433</v>
      </c>
      <c r="D30" s="164" t="s">
        <v>483</v>
      </c>
      <c r="E30" s="164" t="s">
        <v>588</v>
      </c>
      <c r="F30" s="165" t="n">
        <v>11500</v>
      </c>
      <c r="G30" s="164" t="s">
        <v>597</v>
      </c>
      <c r="H30" s="165" t="n">
        <v>-4.5</v>
      </c>
      <c r="I30" s="165" t="n">
        <v>60000</v>
      </c>
      <c r="J30" s="165" t="n">
        <v>46000</v>
      </c>
      <c r="K30" s="165" t="n">
        <v>12000</v>
      </c>
      <c r="L30" s="165" t="n">
        <v>5000</v>
      </c>
      <c r="M30" s="165" t="n">
        <v>2200</v>
      </c>
      <c r="N30" s="165" t="n">
        <v>4400</v>
      </c>
      <c r="O30" s="165" t="n">
        <v>300</v>
      </c>
      <c r="P30" s="165" t="n">
        <v>2000</v>
      </c>
      <c r="Q30" s="164" t="s">
        <v>590</v>
      </c>
      <c r="R30" s="164" t="s">
        <v>598</v>
      </c>
    </row>
    <row r="31" customFormat="false" ht="15" hidden="false" customHeight="false" outlineLevel="0" collapsed="false">
      <c r="A31" s="164" t="s">
        <v>599</v>
      </c>
      <c r="B31" s="164" t="s">
        <v>552</v>
      </c>
      <c r="C31" s="164" t="s">
        <v>105</v>
      </c>
      <c r="D31" s="164" t="s">
        <v>483</v>
      </c>
      <c r="E31" s="164" t="s">
        <v>588</v>
      </c>
      <c r="F31" s="165" t="n">
        <v>11500</v>
      </c>
      <c r="G31" s="164" t="s">
        <v>485</v>
      </c>
      <c r="H31" s="165" t="n">
        <v>-4.5</v>
      </c>
      <c r="I31" s="165" t="n">
        <v>56000</v>
      </c>
      <c r="J31" s="165" t="n">
        <v>42000</v>
      </c>
      <c r="K31" s="165" t="n">
        <v>7700</v>
      </c>
      <c r="L31" s="165" t="n">
        <v>3300</v>
      </c>
      <c r="M31" s="165" t="n">
        <v>1300</v>
      </c>
      <c r="N31" s="165" t="n">
        <v>2700</v>
      </c>
      <c r="O31" s="165" t="n">
        <v>300</v>
      </c>
      <c r="P31" s="165" t="n">
        <v>2000</v>
      </c>
      <c r="Q31" s="164" t="s">
        <v>600</v>
      </c>
      <c r="R31" s="164" t="s">
        <v>601</v>
      </c>
    </row>
    <row r="32" customFormat="false" ht="15" hidden="false" customHeight="false" outlineLevel="0" collapsed="false">
      <c r="A32" s="164" t="s">
        <v>602</v>
      </c>
      <c r="B32" s="164" t="s">
        <v>552</v>
      </c>
      <c r="C32" s="164" t="s">
        <v>105</v>
      </c>
      <c r="D32" s="164" t="s">
        <v>483</v>
      </c>
      <c r="E32" s="164" t="s">
        <v>588</v>
      </c>
      <c r="F32" s="165" t="n">
        <v>11500</v>
      </c>
      <c r="G32" s="164" t="s">
        <v>485</v>
      </c>
      <c r="H32" s="165" t="n">
        <v>-4.5</v>
      </c>
      <c r="I32" s="165" t="n">
        <v>58000</v>
      </c>
      <c r="J32" s="165" t="n">
        <v>44000</v>
      </c>
      <c r="K32" s="165" t="n">
        <v>9300</v>
      </c>
      <c r="L32" s="165" t="n">
        <v>3800</v>
      </c>
      <c r="M32" s="165" t="n">
        <v>1300</v>
      </c>
      <c r="N32" s="165" t="n">
        <v>3300</v>
      </c>
      <c r="O32" s="165" t="n">
        <v>300</v>
      </c>
      <c r="P32" s="165" t="n">
        <v>2000</v>
      </c>
      <c r="Q32" s="164" t="s">
        <v>603</v>
      </c>
      <c r="R32" s="164" t="s">
        <v>604</v>
      </c>
    </row>
    <row r="33" customFormat="false" ht="15" hidden="false" customHeight="false" outlineLevel="0" collapsed="false">
      <c r="A33" s="164" t="s">
        <v>605</v>
      </c>
      <c r="B33" s="164" t="s">
        <v>552</v>
      </c>
      <c r="C33" s="164" t="s">
        <v>105</v>
      </c>
      <c r="D33" s="164" t="s">
        <v>483</v>
      </c>
      <c r="E33" s="164" t="s">
        <v>588</v>
      </c>
      <c r="F33" s="165" t="n">
        <v>11500</v>
      </c>
      <c r="G33" s="164" t="s">
        <v>485</v>
      </c>
      <c r="H33" s="165" t="n">
        <v>-4.5</v>
      </c>
      <c r="I33" s="165" t="n">
        <v>58000</v>
      </c>
      <c r="J33" s="165" t="n">
        <v>42000</v>
      </c>
      <c r="K33" s="165" t="n">
        <v>7200</v>
      </c>
      <c r="L33" s="165" t="n">
        <v>3300</v>
      </c>
      <c r="M33" s="165" t="n">
        <v>1100</v>
      </c>
      <c r="N33" s="165" t="n">
        <v>2700</v>
      </c>
      <c r="O33" s="165" t="n">
        <v>300</v>
      </c>
      <c r="P33" s="165" t="n">
        <v>2000</v>
      </c>
      <c r="Q33" s="164" t="s">
        <v>603</v>
      </c>
      <c r="R33" s="164" t="s">
        <v>606</v>
      </c>
    </row>
    <row r="34" customFormat="false" ht="15" hidden="false" customHeight="false" outlineLevel="0" collapsed="false">
      <c r="A34" s="164" t="s">
        <v>607</v>
      </c>
      <c r="B34" s="164" t="s">
        <v>552</v>
      </c>
      <c r="C34" s="164" t="s">
        <v>105</v>
      </c>
      <c r="D34" s="164" t="s">
        <v>483</v>
      </c>
      <c r="E34" s="164" t="s">
        <v>588</v>
      </c>
      <c r="F34" s="165" t="n">
        <v>11500</v>
      </c>
      <c r="G34" s="164" t="s">
        <v>485</v>
      </c>
      <c r="H34" s="165" t="n">
        <v>-5.5</v>
      </c>
      <c r="I34" s="165" t="n">
        <v>60000</v>
      </c>
      <c r="J34" s="165" t="n">
        <v>44000</v>
      </c>
      <c r="K34" s="165" t="n">
        <v>6000</v>
      </c>
      <c r="L34" s="165" t="n">
        <v>2700</v>
      </c>
      <c r="M34" s="165" t="n">
        <v>1000</v>
      </c>
      <c r="N34" s="165" t="n">
        <v>2200</v>
      </c>
      <c r="O34" s="165" t="n">
        <v>300</v>
      </c>
      <c r="P34" s="165" t="n">
        <v>2000</v>
      </c>
      <c r="Q34" s="164" t="s">
        <v>554</v>
      </c>
      <c r="R34" s="164" t="s">
        <v>608</v>
      </c>
    </row>
    <row r="35" customFormat="false" ht="15" hidden="false" customHeight="false" outlineLevel="0" collapsed="false">
      <c r="A35" s="164" t="s">
        <v>609</v>
      </c>
      <c r="B35" s="164" t="s">
        <v>552</v>
      </c>
      <c r="C35" s="164" t="s">
        <v>105</v>
      </c>
      <c r="D35" s="164" t="s">
        <v>483</v>
      </c>
      <c r="E35" s="164" t="s">
        <v>588</v>
      </c>
      <c r="F35" s="165" t="n">
        <v>11500</v>
      </c>
      <c r="G35" s="164" t="s">
        <v>485</v>
      </c>
      <c r="H35" s="165" t="n">
        <v>-3.5</v>
      </c>
      <c r="I35" s="165" t="n">
        <v>56000</v>
      </c>
      <c r="J35" s="165" t="n">
        <v>40000</v>
      </c>
      <c r="K35" s="165" t="n">
        <v>6600</v>
      </c>
      <c r="L35" s="165" t="n">
        <v>3100</v>
      </c>
      <c r="M35" s="165" t="n">
        <v>1100</v>
      </c>
      <c r="N35" s="165" t="n">
        <v>2700</v>
      </c>
      <c r="O35" s="165" t="n">
        <v>300</v>
      </c>
      <c r="P35" s="165" t="n">
        <v>2000</v>
      </c>
      <c r="Q35" s="164" t="s">
        <v>554</v>
      </c>
      <c r="R35" s="164" t="s">
        <v>610</v>
      </c>
    </row>
    <row r="36" customFormat="false" ht="15" hidden="false" customHeight="false" outlineLevel="0" collapsed="false">
      <c r="A36" s="164" t="s">
        <v>611</v>
      </c>
      <c r="B36" s="164" t="s">
        <v>552</v>
      </c>
      <c r="C36" s="164" t="s">
        <v>105</v>
      </c>
      <c r="D36" s="164" t="s">
        <v>483</v>
      </c>
      <c r="E36" s="164" t="s">
        <v>588</v>
      </c>
      <c r="F36" s="165" t="n">
        <v>11500</v>
      </c>
      <c r="G36" s="164" t="s">
        <v>485</v>
      </c>
      <c r="H36" s="165" t="n">
        <v>-4.5</v>
      </c>
      <c r="I36" s="165" t="n">
        <v>56000</v>
      </c>
      <c r="J36" s="165" t="n">
        <v>42000</v>
      </c>
      <c r="K36" s="165" t="n">
        <v>7700</v>
      </c>
      <c r="L36" s="165" t="n">
        <v>3300</v>
      </c>
      <c r="M36" s="165" t="n">
        <v>1300</v>
      </c>
      <c r="N36" s="165" t="n">
        <v>2700</v>
      </c>
      <c r="O36" s="165" t="n">
        <v>300</v>
      </c>
      <c r="P36" s="165" t="n">
        <v>2000</v>
      </c>
      <c r="Q36" s="164" t="s">
        <v>554</v>
      </c>
      <c r="R36" s="164" t="s">
        <v>612</v>
      </c>
    </row>
    <row r="37" customFormat="false" ht="15" hidden="false" customHeight="false" outlineLevel="0" collapsed="false">
      <c r="A37" s="164" t="s">
        <v>613</v>
      </c>
      <c r="B37" s="164" t="s">
        <v>552</v>
      </c>
      <c r="C37" s="164" t="s">
        <v>435</v>
      </c>
      <c r="D37" s="164" t="s">
        <v>483</v>
      </c>
      <c r="E37" s="164" t="s">
        <v>588</v>
      </c>
      <c r="F37" s="165" t="n">
        <v>11500</v>
      </c>
      <c r="G37" s="164" t="s">
        <v>589</v>
      </c>
      <c r="H37" s="165" t="n">
        <v>-4.5</v>
      </c>
      <c r="I37" s="165" t="n">
        <v>56000</v>
      </c>
      <c r="J37" s="165" t="n">
        <v>42000</v>
      </c>
      <c r="K37" s="165" t="n">
        <v>5000</v>
      </c>
      <c r="L37" s="165" t="n">
        <v>2200</v>
      </c>
      <c r="M37" s="165" t="n">
        <v>800</v>
      </c>
      <c r="N37" s="165" t="n">
        <v>2000</v>
      </c>
      <c r="O37" s="165" t="n">
        <v>300</v>
      </c>
      <c r="P37" s="165" t="n">
        <v>2000</v>
      </c>
      <c r="Q37" s="164" t="s">
        <v>549</v>
      </c>
      <c r="R37" s="164" t="s">
        <v>614</v>
      </c>
    </row>
    <row r="38" customFormat="false" ht="15" hidden="false" customHeight="false" outlineLevel="0" collapsed="false">
      <c r="A38" s="164" t="s">
        <v>615</v>
      </c>
      <c r="B38" s="164" t="s">
        <v>552</v>
      </c>
      <c r="C38" s="164" t="s">
        <v>437</v>
      </c>
      <c r="D38" s="164" t="s">
        <v>483</v>
      </c>
      <c r="E38" s="164" t="s">
        <v>588</v>
      </c>
      <c r="F38" s="165" t="n">
        <v>11500</v>
      </c>
      <c r="G38" s="164" t="s">
        <v>485</v>
      </c>
      <c r="H38" s="165" t="n">
        <v>-4.5</v>
      </c>
      <c r="I38" s="165" t="n">
        <v>56000</v>
      </c>
      <c r="J38" s="165" t="n">
        <v>40000</v>
      </c>
      <c r="K38" s="165" t="n">
        <v>4400</v>
      </c>
      <c r="L38" s="165" t="n">
        <v>2200</v>
      </c>
      <c r="M38" s="165" t="n">
        <v>800</v>
      </c>
      <c r="N38" s="165" t="n">
        <v>2000</v>
      </c>
      <c r="O38" s="165" t="n">
        <v>300</v>
      </c>
      <c r="P38" s="165" t="n">
        <v>2000</v>
      </c>
      <c r="Q38" s="164" t="s">
        <v>567</v>
      </c>
      <c r="R38" s="164" t="s">
        <v>616</v>
      </c>
    </row>
    <row r="39" customFormat="false" ht="15" hidden="false" customHeight="false" outlineLevel="0" collapsed="false">
      <c r="A39" s="164" t="s">
        <v>617</v>
      </c>
      <c r="B39" s="164" t="s">
        <v>552</v>
      </c>
      <c r="C39" s="164" t="s">
        <v>439</v>
      </c>
      <c r="D39" s="164" t="s">
        <v>483</v>
      </c>
      <c r="E39" s="164" t="s">
        <v>588</v>
      </c>
      <c r="F39" s="165" t="n">
        <v>11500</v>
      </c>
      <c r="G39" s="164" t="s">
        <v>589</v>
      </c>
      <c r="H39" s="165" t="n">
        <v>-4.5</v>
      </c>
      <c r="I39" s="165" t="n">
        <v>56000</v>
      </c>
      <c r="J39" s="165" t="n">
        <v>40000</v>
      </c>
      <c r="K39" s="165" t="n">
        <v>4400</v>
      </c>
      <c r="L39" s="165" t="n">
        <v>2000</v>
      </c>
      <c r="M39" s="165" t="n">
        <v>700</v>
      </c>
      <c r="N39" s="165" t="n">
        <v>1700</v>
      </c>
      <c r="O39" s="165" t="n">
        <v>300</v>
      </c>
      <c r="P39" s="165" t="n">
        <v>2000</v>
      </c>
      <c r="Q39" s="164" t="s">
        <v>549</v>
      </c>
      <c r="R39" s="164" t="s">
        <v>618</v>
      </c>
    </row>
    <row r="40" customFormat="false" ht="15" hidden="false" customHeight="false" outlineLevel="0" collapsed="false">
      <c r="A40" s="164" t="s">
        <v>619</v>
      </c>
      <c r="B40" s="164" t="s">
        <v>552</v>
      </c>
      <c r="C40" s="164" t="s">
        <v>441</v>
      </c>
      <c r="D40" s="164" t="s">
        <v>483</v>
      </c>
      <c r="E40" s="164" t="s">
        <v>588</v>
      </c>
      <c r="F40" s="165" t="n">
        <v>11500</v>
      </c>
      <c r="G40" s="164" t="s">
        <v>485</v>
      </c>
      <c r="H40" s="165" t="n">
        <v>-4.5</v>
      </c>
      <c r="I40" s="165" t="n">
        <v>64000</v>
      </c>
      <c r="J40" s="165" t="n">
        <v>50000</v>
      </c>
      <c r="K40" s="165" t="n">
        <v>11000</v>
      </c>
      <c r="L40" s="165" t="n">
        <v>5000</v>
      </c>
      <c r="M40" s="165" t="n">
        <v>1700</v>
      </c>
      <c r="N40" s="165" t="n">
        <v>3900</v>
      </c>
      <c r="O40" s="165" t="n">
        <v>300</v>
      </c>
      <c r="P40" s="165" t="n">
        <v>2000</v>
      </c>
      <c r="Q40" s="164" t="s">
        <v>497</v>
      </c>
      <c r="R40" s="164" t="s">
        <v>620</v>
      </c>
    </row>
    <row r="41" customFormat="false" ht="15" hidden="false" customHeight="false" outlineLevel="0" collapsed="false">
      <c r="A41" s="164" t="s">
        <v>621</v>
      </c>
      <c r="B41" s="164" t="s">
        <v>552</v>
      </c>
      <c r="C41" s="164" t="s">
        <v>443</v>
      </c>
      <c r="D41" s="164" t="s">
        <v>483</v>
      </c>
      <c r="E41" s="164" t="s">
        <v>588</v>
      </c>
      <c r="F41" s="165" t="n">
        <v>11500</v>
      </c>
      <c r="G41" s="164" t="s">
        <v>485</v>
      </c>
      <c r="H41" s="165" t="n">
        <v>-4.5</v>
      </c>
      <c r="I41" s="165" t="n">
        <v>62000</v>
      </c>
      <c r="J41" s="165" t="n">
        <v>48000</v>
      </c>
      <c r="K41" s="165" t="n">
        <v>8800</v>
      </c>
      <c r="L41" s="165" t="n">
        <v>3800</v>
      </c>
      <c r="M41" s="165" t="n">
        <v>1300</v>
      </c>
      <c r="N41" s="165" t="n">
        <v>3300</v>
      </c>
      <c r="O41" s="165" t="n">
        <v>300</v>
      </c>
      <c r="P41" s="165" t="n">
        <v>2000</v>
      </c>
      <c r="Q41" s="164" t="s">
        <v>497</v>
      </c>
      <c r="R41" s="164" t="s">
        <v>622</v>
      </c>
    </row>
    <row r="42" customFormat="false" ht="15" hidden="false" customHeight="false" outlineLevel="0" collapsed="false">
      <c r="A42" s="164" t="s">
        <v>623</v>
      </c>
      <c r="B42" s="164" t="s">
        <v>552</v>
      </c>
      <c r="C42" s="164" t="s">
        <v>105</v>
      </c>
      <c r="D42" s="164" t="s">
        <v>483</v>
      </c>
      <c r="E42" s="164" t="s">
        <v>588</v>
      </c>
      <c r="F42" s="165" t="n">
        <v>11500</v>
      </c>
      <c r="G42" s="164" t="s">
        <v>485</v>
      </c>
      <c r="H42" s="165" t="n">
        <v>-3.5</v>
      </c>
      <c r="I42" s="165" t="n">
        <v>60000</v>
      </c>
      <c r="J42" s="165" t="n">
        <v>46000</v>
      </c>
      <c r="K42" s="165" t="n">
        <v>8300</v>
      </c>
      <c r="L42" s="165" t="n">
        <v>3800</v>
      </c>
      <c r="M42" s="165" t="n">
        <v>1300</v>
      </c>
      <c r="N42" s="165" t="n">
        <v>3300</v>
      </c>
      <c r="O42" s="165" t="n">
        <v>300</v>
      </c>
      <c r="P42" s="165" t="n">
        <v>2000</v>
      </c>
      <c r="Q42" s="164" t="s">
        <v>497</v>
      </c>
      <c r="R42" s="164" t="s">
        <v>624</v>
      </c>
    </row>
    <row r="43" customFormat="false" ht="15" hidden="false" customHeight="false" outlineLevel="0" collapsed="false">
      <c r="A43" s="164" t="s">
        <v>625</v>
      </c>
      <c r="B43" s="164" t="s">
        <v>552</v>
      </c>
      <c r="C43" s="164" t="s">
        <v>445</v>
      </c>
      <c r="D43" s="164" t="s">
        <v>483</v>
      </c>
      <c r="E43" s="164" t="s">
        <v>588</v>
      </c>
      <c r="F43" s="165" t="n">
        <v>11500</v>
      </c>
      <c r="G43" s="164" t="s">
        <v>626</v>
      </c>
      <c r="H43" s="165" t="n">
        <v>-4.5</v>
      </c>
      <c r="I43" s="165" t="n">
        <v>62000</v>
      </c>
      <c r="J43" s="165" t="n">
        <v>48000</v>
      </c>
      <c r="K43" s="165" t="n">
        <v>9900</v>
      </c>
      <c r="L43" s="165" t="n">
        <v>4400</v>
      </c>
      <c r="M43" s="165" t="n">
        <v>1400</v>
      </c>
      <c r="N43" s="165" t="n">
        <v>3300</v>
      </c>
      <c r="O43" s="165" t="n">
        <v>300</v>
      </c>
      <c r="P43" s="165" t="n">
        <v>2000</v>
      </c>
      <c r="Q43" s="164" t="s">
        <v>590</v>
      </c>
      <c r="R43" s="164" t="s">
        <v>627</v>
      </c>
    </row>
    <row r="44" customFormat="false" ht="15" hidden="false" customHeight="false" outlineLevel="0" collapsed="false">
      <c r="A44" s="164" t="s">
        <v>628</v>
      </c>
      <c r="B44" s="164" t="s">
        <v>552</v>
      </c>
      <c r="C44" s="164" t="s">
        <v>447</v>
      </c>
      <c r="D44" s="164" t="s">
        <v>483</v>
      </c>
      <c r="E44" s="164" t="s">
        <v>588</v>
      </c>
      <c r="F44" s="165" t="n">
        <v>11500</v>
      </c>
      <c r="G44" s="164" t="s">
        <v>485</v>
      </c>
      <c r="H44" s="165" t="n">
        <v>-5.5</v>
      </c>
      <c r="I44" s="165" t="n">
        <v>75000</v>
      </c>
      <c r="J44" s="165" t="n">
        <v>60000</v>
      </c>
      <c r="K44" s="165" t="n">
        <v>13000</v>
      </c>
      <c r="L44" s="165" t="n">
        <v>5500</v>
      </c>
      <c r="M44" s="165" t="n">
        <v>2500</v>
      </c>
      <c r="N44" s="165" t="n">
        <v>5500</v>
      </c>
      <c r="O44" s="165" t="n">
        <v>300</v>
      </c>
      <c r="P44" s="165" t="n">
        <v>2000</v>
      </c>
      <c r="Q44" s="164" t="s">
        <v>497</v>
      </c>
      <c r="R44" s="164" t="s">
        <v>629</v>
      </c>
    </row>
    <row r="45" customFormat="false" ht="15" hidden="false" customHeight="false" outlineLevel="0" collapsed="false">
      <c r="A45" s="164" t="s">
        <v>630</v>
      </c>
      <c r="B45" s="164" t="s">
        <v>631</v>
      </c>
      <c r="C45" s="164" t="s">
        <v>104</v>
      </c>
      <c r="D45" s="164" t="s">
        <v>534</v>
      </c>
      <c r="E45" s="164" t="s">
        <v>632</v>
      </c>
      <c r="F45" s="165" t="n">
        <v>17600</v>
      </c>
      <c r="G45" s="164" t="s">
        <v>522</v>
      </c>
      <c r="H45" s="165" t="n">
        <v>-10.5</v>
      </c>
      <c r="I45" s="165" t="n">
        <v>95000</v>
      </c>
      <c r="J45" s="165" t="n">
        <v>80000</v>
      </c>
      <c r="K45" s="165" t="n">
        <v>9900</v>
      </c>
      <c r="L45" s="165" t="n">
        <v>4400</v>
      </c>
      <c r="M45" s="165" t="n">
        <v>2200</v>
      </c>
      <c r="N45" s="165" t="n">
        <v>3900</v>
      </c>
      <c r="O45" s="165" t="n">
        <v>350</v>
      </c>
      <c r="P45" s="165" t="n">
        <v>2500</v>
      </c>
      <c r="Q45" s="164" t="s">
        <v>633</v>
      </c>
      <c r="R45" s="164" t="s">
        <v>634</v>
      </c>
    </row>
    <row r="46" customFormat="false" ht="15" hidden="false" customHeight="false" outlineLevel="0" collapsed="false">
      <c r="A46" s="164" t="s">
        <v>635</v>
      </c>
      <c r="B46" s="164" t="s">
        <v>631</v>
      </c>
      <c r="C46" s="164" t="s">
        <v>449</v>
      </c>
      <c r="D46" s="164" t="s">
        <v>534</v>
      </c>
      <c r="E46" s="164" t="s">
        <v>636</v>
      </c>
      <c r="F46" s="165" t="n">
        <v>12600</v>
      </c>
      <c r="G46" s="164" t="s">
        <v>522</v>
      </c>
      <c r="H46" s="165" t="n">
        <v>-10.5</v>
      </c>
      <c r="I46" s="165" t="n">
        <v>100000</v>
      </c>
      <c r="J46" s="165" t="n">
        <v>90000</v>
      </c>
      <c r="K46" s="165" t="n">
        <v>8800</v>
      </c>
      <c r="L46" s="165" t="n">
        <v>3800</v>
      </c>
      <c r="M46" s="165" t="n">
        <v>1700</v>
      </c>
      <c r="N46" s="165" t="n">
        <v>3300</v>
      </c>
      <c r="O46" s="165" t="n">
        <v>350</v>
      </c>
      <c r="P46" s="165" t="n">
        <v>2500</v>
      </c>
      <c r="Q46" s="164" t="s">
        <v>633</v>
      </c>
      <c r="R46" s="164" t="s">
        <v>637</v>
      </c>
    </row>
    <row r="47" customFormat="false" ht="15" hidden="false" customHeight="false" outlineLevel="0" collapsed="false">
      <c r="A47" s="164" t="s">
        <v>638</v>
      </c>
      <c r="B47" s="164" t="s">
        <v>639</v>
      </c>
      <c r="C47" s="164" t="s">
        <v>451</v>
      </c>
      <c r="D47" s="164" t="s">
        <v>640</v>
      </c>
      <c r="E47" s="164" t="s">
        <v>641</v>
      </c>
      <c r="F47" s="165" t="n">
        <v>13100</v>
      </c>
      <c r="G47" s="164" t="s">
        <v>642</v>
      </c>
      <c r="H47" s="165" t="n">
        <v>4.5</v>
      </c>
      <c r="I47" s="165" t="n">
        <v>65000</v>
      </c>
      <c r="J47" s="165" t="n">
        <v>75000</v>
      </c>
      <c r="K47" s="165" t="n">
        <v>7700</v>
      </c>
      <c r="L47" s="165" t="n">
        <v>3800</v>
      </c>
      <c r="M47" s="165" t="n">
        <v>1700</v>
      </c>
      <c r="N47" s="165" t="n">
        <v>3300</v>
      </c>
      <c r="O47" s="165" t="n">
        <v>300</v>
      </c>
      <c r="P47" s="165" t="n">
        <v>2000</v>
      </c>
      <c r="Q47" s="164" t="s">
        <v>497</v>
      </c>
      <c r="R47" s="164" t="s">
        <v>643</v>
      </c>
    </row>
    <row r="48" customFormat="false" ht="15" hidden="false" customHeight="false" outlineLevel="0" collapsed="false">
      <c r="A48" s="164" t="s">
        <v>644</v>
      </c>
      <c r="B48" s="164" t="s">
        <v>639</v>
      </c>
      <c r="C48" s="164" t="s">
        <v>453</v>
      </c>
      <c r="D48" s="164" t="s">
        <v>645</v>
      </c>
      <c r="E48" s="164" t="s">
        <v>646</v>
      </c>
      <c r="F48" s="165" t="n">
        <v>23000</v>
      </c>
      <c r="G48" s="164" t="s">
        <v>642</v>
      </c>
      <c r="H48" s="165" t="n">
        <v>6.5</v>
      </c>
      <c r="I48" s="165" t="n">
        <v>90000</v>
      </c>
      <c r="J48" s="165" t="n">
        <v>90000</v>
      </c>
      <c r="K48" s="165" t="n">
        <v>7700</v>
      </c>
      <c r="L48" s="165" t="n">
        <v>3800</v>
      </c>
      <c r="M48" s="165" t="n">
        <v>2200</v>
      </c>
      <c r="N48" s="165" t="n">
        <v>3900</v>
      </c>
      <c r="O48" s="165" t="n">
        <v>300</v>
      </c>
      <c r="P48" s="165" t="n">
        <v>2000</v>
      </c>
      <c r="Q48" s="164" t="s">
        <v>497</v>
      </c>
      <c r="R48" s="164" t="s">
        <v>647</v>
      </c>
    </row>
    <row r="49" customFormat="false" ht="15" hidden="false" customHeight="false" outlineLevel="0" collapsed="false">
      <c r="A49" s="164" t="s">
        <v>70</v>
      </c>
      <c r="B49" s="164" t="s">
        <v>476</v>
      </c>
      <c r="C49" s="164" t="s">
        <v>338</v>
      </c>
      <c r="D49" s="164" t="s">
        <v>483</v>
      </c>
      <c r="E49" s="164" t="s">
        <v>648</v>
      </c>
      <c r="F49" s="165" t="n">
        <v>0</v>
      </c>
      <c r="G49" s="164" t="s">
        <v>518</v>
      </c>
      <c r="H49" s="165" t="n">
        <v>0</v>
      </c>
      <c r="I49" s="165" t="n">
        <v>8000</v>
      </c>
      <c r="J49" s="165" t="n">
        <v>16000</v>
      </c>
      <c r="K49" s="165" t="n">
        <v>3300</v>
      </c>
      <c r="L49" s="165" t="n">
        <v>1600</v>
      </c>
      <c r="M49" s="165" t="n">
        <v>900</v>
      </c>
      <c r="N49" s="165" t="n">
        <v>1100</v>
      </c>
      <c r="O49" s="165" t="n">
        <v>0</v>
      </c>
      <c r="P49" s="165" t="n">
        <v>0</v>
      </c>
      <c r="Q49" s="164" t="s">
        <v>649</v>
      </c>
      <c r="R49" s="164" t="s">
        <v>650</v>
      </c>
    </row>
    <row r="50" customFormat="false" ht="15" hidden="false" customHeight="false" outlineLevel="0" collapsed="false">
      <c r="A50" s="164"/>
      <c r="B50" s="164"/>
      <c r="C50" s="164"/>
      <c r="D50" s="164"/>
      <c r="E50" s="164"/>
      <c r="F50" s="165"/>
      <c r="G50" s="164"/>
      <c r="H50" s="165"/>
      <c r="I50" s="165"/>
      <c r="J50" s="165"/>
      <c r="K50" s="165"/>
      <c r="L50" s="165"/>
      <c r="M50" s="165"/>
      <c r="N50" s="165"/>
      <c r="O50" s="165"/>
      <c r="P50" s="165"/>
      <c r="Q50" s="164"/>
      <c r="R50" s="164"/>
    </row>
    <row r="51" customFormat="false" ht="15" hidden="false" customHeight="false" outlineLevel="0" collapsed="false">
      <c r="A51" s="164"/>
      <c r="B51" s="164"/>
      <c r="C51" s="164"/>
      <c r="D51" s="164"/>
      <c r="E51" s="164"/>
      <c r="F51" s="165"/>
      <c r="G51" s="164"/>
      <c r="H51" s="165"/>
      <c r="I51" s="165"/>
      <c r="J51" s="165"/>
      <c r="K51" s="165"/>
      <c r="L51" s="165"/>
      <c r="M51" s="165"/>
      <c r="N51" s="165"/>
      <c r="O51" s="165"/>
      <c r="P51" s="165"/>
      <c r="Q51" s="164"/>
      <c r="R51" s="164"/>
    </row>
    <row r="52" customFormat="false" ht="15" hidden="false" customHeight="false" outlineLevel="0" collapsed="false">
      <c r="A52" s="164"/>
      <c r="B52" s="164"/>
      <c r="C52" s="164"/>
      <c r="D52" s="164"/>
      <c r="E52" s="164"/>
      <c r="F52" s="165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4"/>
      <c r="R52" s="164"/>
    </row>
    <row r="53" customFormat="false" ht="15" hidden="false" customHeight="false" outlineLevel="0" collapsed="false">
      <c r="A53" s="164"/>
      <c r="B53" s="164"/>
      <c r="C53" s="164"/>
      <c r="D53" s="164"/>
      <c r="E53" s="164"/>
      <c r="F53" s="165"/>
      <c r="G53" s="164"/>
      <c r="H53" s="165"/>
      <c r="I53" s="165"/>
      <c r="J53" s="165"/>
      <c r="K53" s="165"/>
      <c r="L53" s="165"/>
      <c r="M53" s="165"/>
      <c r="N53" s="165"/>
      <c r="O53" s="165"/>
      <c r="P53" s="165"/>
      <c r="Q53" s="164"/>
      <c r="R53" s="164"/>
    </row>
    <row r="54" customFormat="false" ht="15" hidden="false" customHeight="false" outlineLevel="0" collapsed="false">
      <c r="A54" s="164"/>
      <c r="B54" s="164"/>
      <c r="C54" s="164"/>
      <c r="D54" s="164"/>
      <c r="E54" s="164"/>
      <c r="F54" s="165"/>
      <c r="G54" s="164"/>
      <c r="H54" s="165"/>
      <c r="I54" s="165"/>
      <c r="J54" s="165"/>
      <c r="K54" s="165"/>
      <c r="L54" s="165"/>
      <c r="M54" s="165"/>
      <c r="N54" s="165"/>
      <c r="O54" s="165"/>
      <c r="P54" s="165"/>
      <c r="Q54" s="164"/>
      <c r="R54" s="164"/>
    </row>
    <row r="55" customFormat="false" ht="15" hidden="false" customHeight="false" outlineLevel="0" collapsed="false">
      <c r="A55" s="164"/>
      <c r="B55" s="164"/>
      <c r="C55" s="164"/>
      <c r="D55" s="164"/>
      <c r="E55" s="164"/>
      <c r="F55" s="165"/>
      <c r="G55" s="164"/>
      <c r="H55" s="165"/>
      <c r="I55" s="165"/>
      <c r="J55" s="165"/>
      <c r="K55" s="165"/>
      <c r="L55" s="165"/>
      <c r="M55" s="165"/>
      <c r="N55" s="165"/>
      <c r="O55" s="165"/>
      <c r="P55" s="165"/>
      <c r="Q55" s="164"/>
      <c r="R55" s="164"/>
    </row>
    <row r="56" customFormat="false" ht="15" hidden="false" customHeight="false" outlineLevel="0" collapsed="false">
      <c r="A56" s="164"/>
      <c r="B56" s="164"/>
      <c r="C56" s="164"/>
      <c r="D56" s="164"/>
      <c r="E56" s="164"/>
      <c r="F56" s="165"/>
      <c r="G56" s="164"/>
      <c r="H56" s="165"/>
      <c r="I56" s="165"/>
      <c r="J56" s="165"/>
      <c r="K56" s="165"/>
      <c r="L56" s="165"/>
      <c r="M56" s="165"/>
      <c r="N56" s="165"/>
      <c r="O56" s="165"/>
      <c r="P56" s="165"/>
      <c r="Q56" s="164"/>
      <c r="R56" s="164"/>
    </row>
    <row r="57" customFormat="false" ht="15" hidden="false" customHeight="false" outlineLevel="0" collapsed="false">
      <c r="A57" s="164"/>
      <c r="B57" s="164"/>
      <c r="C57" s="164"/>
      <c r="D57" s="164"/>
      <c r="E57" s="164"/>
      <c r="F57" s="165"/>
      <c r="G57" s="164"/>
      <c r="H57" s="165"/>
      <c r="I57" s="165"/>
      <c r="J57" s="165"/>
      <c r="K57" s="165"/>
      <c r="L57" s="165"/>
      <c r="M57" s="165"/>
      <c r="N57" s="165"/>
      <c r="O57" s="165"/>
      <c r="P57" s="165"/>
      <c r="Q57" s="164"/>
      <c r="R57" s="164"/>
    </row>
    <row r="58" customFormat="false" ht="15" hidden="false" customHeight="false" outlineLevel="0" collapsed="false">
      <c r="A58" s="164"/>
      <c r="B58" s="164"/>
      <c r="C58" s="164"/>
      <c r="D58" s="164"/>
      <c r="E58" s="164"/>
      <c r="F58" s="165"/>
      <c r="G58" s="164"/>
      <c r="H58" s="165"/>
      <c r="I58" s="165"/>
      <c r="J58" s="165"/>
      <c r="K58" s="165"/>
      <c r="L58" s="165"/>
      <c r="M58" s="165"/>
      <c r="N58" s="165"/>
      <c r="O58" s="165"/>
      <c r="P58" s="165"/>
      <c r="Q58" s="164"/>
      <c r="R58" s="164"/>
    </row>
    <row r="59" customFormat="false" ht="15" hidden="false" customHeight="false" outlineLevel="0" collapsed="false">
      <c r="A59" s="164"/>
      <c r="B59" s="164"/>
      <c r="C59" s="164"/>
      <c r="D59" s="164"/>
      <c r="E59" s="164"/>
      <c r="F59" s="165"/>
      <c r="G59" s="164"/>
      <c r="H59" s="165"/>
      <c r="I59" s="165"/>
      <c r="J59" s="165"/>
      <c r="K59" s="165"/>
      <c r="L59" s="165"/>
      <c r="M59" s="165"/>
      <c r="N59" s="165"/>
      <c r="O59" s="165"/>
      <c r="P59" s="165"/>
      <c r="Q59" s="164"/>
      <c r="R59" s="164"/>
    </row>
    <row r="60" customFormat="false" ht="15" hidden="false" customHeight="false" outlineLevel="0" collapsed="false">
      <c r="A60" s="164"/>
      <c r="B60" s="164"/>
      <c r="C60" s="164"/>
      <c r="D60" s="164"/>
      <c r="E60" s="164"/>
      <c r="F60" s="165"/>
      <c r="G60" s="164"/>
      <c r="H60" s="165"/>
      <c r="I60" s="165"/>
      <c r="J60" s="165"/>
      <c r="K60" s="165"/>
      <c r="L60" s="165"/>
      <c r="M60" s="165"/>
      <c r="N60" s="165"/>
      <c r="O60" s="165"/>
      <c r="P60" s="165"/>
      <c r="Q60" s="164"/>
      <c r="R60" s="164"/>
    </row>
    <row r="61" customFormat="false" ht="15" hidden="false" customHeight="false" outlineLevel="0" collapsed="false">
      <c r="A61" s="164"/>
      <c r="B61" s="164"/>
      <c r="C61" s="164"/>
      <c r="D61" s="164"/>
      <c r="E61" s="164"/>
      <c r="F61" s="165"/>
      <c r="G61" s="164"/>
      <c r="H61" s="165"/>
      <c r="I61" s="165"/>
      <c r="J61" s="165"/>
      <c r="K61" s="165"/>
      <c r="L61" s="165"/>
      <c r="M61" s="165"/>
      <c r="N61" s="165"/>
      <c r="O61" s="165"/>
      <c r="P61" s="165"/>
      <c r="Q61" s="164"/>
      <c r="R61" s="164"/>
    </row>
    <row r="62" customFormat="false" ht="15" hidden="false" customHeight="false" outlineLevel="0" collapsed="false">
      <c r="A62" s="164"/>
      <c r="B62" s="164"/>
      <c r="C62" s="164"/>
      <c r="D62" s="164"/>
      <c r="E62" s="164"/>
      <c r="F62" s="165"/>
      <c r="G62" s="164"/>
      <c r="H62" s="165"/>
      <c r="I62" s="165"/>
      <c r="J62" s="165"/>
      <c r="K62" s="165"/>
      <c r="L62" s="165"/>
      <c r="M62" s="165"/>
      <c r="N62" s="165"/>
      <c r="O62" s="165"/>
      <c r="P62" s="165"/>
      <c r="Q62" s="164"/>
      <c r="R62" s="164"/>
    </row>
    <row r="63" customFormat="false" ht="15" hidden="false" customHeight="false" outlineLevel="0" collapsed="false">
      <c r="A63" s="164"/>
      <c r="B63" s="164"/>
      <c r="C63" s="164"/>
      <c r="D63" s="164"/>
      <c r="E63" s="164"/>
      <c r="F63" s="165"/>
      <c r="G63" s="164"/>
      <c r="H63" s="165"/>
      <c r="I63" s="165"/>
      <c r="J63" s="165"/>
      <c r="K63" s="165"/>
      <c r="L63" s="165"/>
      <c r="M63" s="165"/>
      <c r="N63" s="165"/>
      <c r="O63" s="165"/>
      <c r="P63" s="165"/>
      <c r="Q63" s="164"/>
      <c r="R63" s="164"/>
    </row>
    <row r="64" customFormat="false" ht="15" hidden="false" customHeight="false" outlineLevel="0" collapsed="false">
      <c r="A64" s="164"/>
      <c r="B64" s="164"/>
      <c r="C64" s="164"/>
      <c r="D64" s="164"/>
      <c r="E64" s="164"/>
      <c r="F64" s="165"/>
      <c r="G64" s="164"/>
      <c r="H64" s="165"/>
      <c r="I64" s="165"/>
      <c r="J64" s="165"/>
      <c r="K64" s="165"/>
      <c r="L64" s="165"/>
      <c r="M64" s="165"/>
      <c r="N64" s="165"/>
      <c r="O64" s="165"/>
      <c r="P64" s="165"/>
      <c r="Q64" s="164"/>
      <c r="R64" s="164"/>
    </row>
    <row r="65" customFormat="false" ht="15" hidden="false" customHeight="false" outlineLevel="0" collapsed="false">
      <c r="A65" s="164"/>
      <c r="B65" s="164"/>
      <c r="C65" s="164"/>
      <c r="D65" s="164"/>
      <c r="E65" s="164"/>
      <c r="F65" s="165"/>
      <c r="G65" s="164"/>
      <c r="H65" s="165"/>
      <c r="I65" s="165"/>
      <c r="J65" s="165"/>
      <c r="K65" s="165"/>
      <c r="L65" s="165"/>
      <c r="M65" s="165"/>
      <c r="N65" s="165"/>
      <c r="O65" s="165"/>
      <c r="P65" s="165"/>
      <c r="Q65" s="164"/>
      <c r="R65" s="164"/>
    </row>
    <row r="66" customFormat="false" ht="15" hidden="false" customHeight="false" outlineLevel="0" collapsed="false">
      <c r="A66" s="164"/>
      <c r="B66" s="164"/>
      <c r="C66" s="164"/>
      <c r="D66" s="164"/>
      <c r="E66" s="164"/>
      <c r="F66" s="165"/>
      <c r="G66" s="164"/>
      <c r="H66" s="165"/>
      <c r="I66" s="165"/>
      <c r="J66" s="165"/>
      <c r="K66" s="165"/>
      <c r="L66" s="165"/>
      <c r="M66" s="165"/>
      <c r="N66" s="165"/>
      <c r="O66" s="165"/>
      <c r="P66" s="165"/>
      <c r="Q66" s="164"/>
      <c r="R66" s="164"/>
    </row>
    <row r="67" customFormat="false" ht="15" hidden="false" customHeight="false" outlineLevel="0" collapsed="false">
      <c r="A67" s="164"/>
      <c r="B67" s="164"/>
      <c r="C67" s="164"/>
      <c r="D67" s="164"/>
      <c r="E67" s="164"/>
      <c r="F67" s="165"/>
      <c r="G67" s="164"/>
      <c r="H67" s="165"/>
      <c r="I67" s="165"/>
      <c r="J67" s="165"/>
      <c r="K67" s="165"/>
      <c r="L67" s="165"/>
      <c r="M67" s="165"/>
      <c r="N67" s="165"/>
      <c r="O67" s="165"/>
      <c r="P67" s="165"/>
      <c r="Q67" s="164"/>
      <c r="R67" s="164"/>
    </row>
    <row r="68" customFormat="false" ht="15" hidden="false" customHeight="false" outlineLevel="0" collapsed="false">
      <c r="A68" s="164"/>
      <c r="B68" s="164"/>
      <c r="C68" s="164"/>
      <c r="D68" s="164"/>
      <c r="E68" s="164"/>
      <c r="F68" s="165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4"/>
      <c r="R68" s="164"/>
    </row>
    <row r="69" customFormat="false" ht="15" hidden="false" customHeight="false" outlineLevel="0" collapsed="false">
      <c r="A69" s="164"/>
      <c r="B69" s="164"/>
      <c r="C69" s="164"/>
      <c r="D69" s="164"/>
      <c r="E69" s="164"/>
      <c r="F69" s="165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4"/>
      <c r="R69" s="164"/>
    </row>
    <row r="70" customFormat="false" ht="15" hidden="false" customHeight="false" outlineLevel="0" collapsed="false">
      <c r="A70" s="164"/>
      <c r="B70" s="164"/>
      <c r="C70" s="164"/>
      <c r="D70" s="164"/>
      <c r="E70" s="164"/>
      <c r="F70" s="165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4"/>
      <c r="R70" s="164"/>
    </row>
    <row r="71" customFormat="false" ht="15" hidden="false" customHeight="false" outlineLevel="0" collapsed="false">
      <c r="A71" s="164"/>
      <c r="B71" s="164"/>
      <c r="C71" s="164"/>
      <c r="D71" s="164"/>
      <c r="E71" s="164"/>
      <c r="F71" s="165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4"/>
      <c r="R71" s="164"/>
    </row>
    <row r="72" customFormat="false" ht="15" hidden="false" customHeight="false" outlineLevel="0" collapsed="false">
      <c r="A72" s="164"/>
      <c r="B72" s="164"/>
      <c r="C72" s="164"/>
      <c r="D72" s="164"/>
      <c r="E72" s="164"/>
      <c r="F72" s="165"/>
      <c r="G72" s="164"/>
      <c r="H72" s="165"/>
      <c r="I72" s="165"/>
      <c r="J72" s="165"/>
      <c r="K72" s="165"/>
      <c r="L72" s="165"/>
      <c r="M72" s="165"/>
      <c r="N72" s="165"/>
      <c r="O72" s="165"/>
      <c r="P72" s="165"/>
      <c r="Q72" s="164"/>
      <c r="R72" s="164"/>
    </row>
    <row r="73" customFormat="false" ht="15" hidden="false" customHeight="false" outlineLevel="0" collapsed="false">
      <c r="A73" s="164"/>
      <c r="B73" s="164"/>
      <c r="C73" s="164"/>
      <c r="D73" s="164"/>
      <c r="E73" s="164"/>
      <c r="F73" s="165"/>
      <c r="G73" s="164"/>
      <c r="H73" s="165"/>
      <c r="I73" s="165"/>
      <c r="J73" s="165"/>
      <c r="K73" s="165"/>
      <c r="L73" s="165"/>
      <c r="M73" s="165"/>
      <c r="N73" s="165"/>
      <c r="O73" s="165"/>
      <c r="P73" s="165"/>
      <c r="Q73" s="164"/>
      <c r="R73" s="164"/>
    </row>
    <row r="74" customFormat="false" ht="15" hidden="false" customHeight="false" outlineLevel="0" collapsed="false">
      <c r="A74" s="164"/>
      <c r="B74" s="164"/>
      <c r="C74" s="164"/>
      <c r="D74" s="164"/>
      <c r="E74" s="164"/>
      <c r="F74" s="165"/>
      <c r="G74" s="164"/>
      <c r="H74" s="165"/>
      <c r="I74" s="165"/>
      <c r="J74" s="165"/>
      <c r="K74" s="165"/>
      <c r="L74" s="165"/>
      <c r="M74" s="165"/>
      <c r="N74" s="165"/>
      <c r="O74" s="165"/>
      <c r="P74" s="165"/>
      <c r="Q74" s="164"/>
      <c r="R74" s="164"/>
    </row>
    <row r="75" customFormat="false" ht="15" hidden="false" customHeight="false" outlineLevel="0" collapsed="false">
      <c r="A75" s="164"/>
      <c r="B75" s="164"/>
      <c r="C75" s="164"/>
      <c r="D75" s="164"/>
      <c r="E75" s="164"/>
      <c r="F75" s="165"/>
      <c r="G75" s="164"/>
      <c r="H75" s="165"/>
      <c r="I75" s="165"/>
      <c r="J75" s="165"/>
      <c r="K75" s="165"/>
      <c r="L75" s="165"/>
      <c r="M75" s="165"/>
      <c r="N75" s="165"/>
      <c r="O75" s="165"/>
      <c r="P75" s="165"/>
      <c r="Q75" s="164"/>
      <c r="R75" s="164"/>
    </row>
    <row r="76" customFormat="false" ht="15" hidden="false" customHeight="false" outlineLevel="0" collapsed="false">
      <c r="A76" s="164"/>
      <c r="B76" s="164"/>
      <c r="C76" s="164"/>
      <c r="D76" s="164"/>
      <c r="E76" s="164"/>
      <c r="F76" s="165"/>
      <c r="G76" s="164"/>
      <c r="H76" s="165"/>
      <c r="I76" s="165"/>
      <c r="J76" s="165"/>
      <c r="K76" s="165"/>
      <c r="L76" s="165"/>
      <c r="M76" s="165"/>
      <c r="N76" s="165"/>
      <c r="O76" s="165"/>
      <c r="P76" s="165"/>
      <c r="Q76" s="164"/>
      <c r="R76" s="164"/>
    </row>
    <row r="77" customFormat="false" ht="15" hidden="false" customHeight="false" outlineLevel="0" collapsed="false">
      <c r="A77" s="164"/>
      <c r="B77" s="164"/>
      <c r="C77" s="164"/>
      <c r="D77" s="164"/>
      <c r="E77" s="164"/>
      <c r="F77" s="165"/>
      <c r="G77" s="164"/>
      <c r="H77" s="165"/>
      <c r="I77" s="165"/>
      <c r="J77" s="165"/>
      <c r="K77" s="165"/>
      <c r="L77" s="165"/>
      <c r="M77" s="165"/>
      <c r="N77" s="165"/>
      <c r="O77" s="165"/>
      <c r="P77" s="165"/>
      <c r="Q77" s="164"/>
      <c r="R77" s="164"/>
    </row>
    <row r="78" customFormat="false" ht="15" hidden="false" customHeight="false" outlineLevel="0" collapsed="false">
      <c r="A78" s="164"/>
      <c r="B78" s="164"/>
      <c r="C78" s="164"/>
      <c r="D78" s="164"/>
      <c r="E78" s="164"/>
      <c r="F78" s="165"/>
      <c r="G78" s="164"/>
      <c r="H78" s="165"/>
      <c r="I78" s="165"/>
      <c r="J78" s="165"/>
      <c r="K78" s="165"/>
      <c r="L78" s="165"/>
      <c r="M78" s="165"/>
      <c r="N78" s="165"/>
      <c r="O78" s="165"/>
      <c r="P78" s="165"/>
      <c r="Q78" s="164"/>
      <c r="R78" s="164"/>
    </row>
    <row r="79" customFormat="false" ht="15" hidden="false" customHeight="false" outlineLevel="0" collapsed="false">
      <c r="A79" s="164"/>
      <c r="B79" s="164"/>
      <c r="C79" s="164"/>
      <c r="D79" s="164"/>
      <c r="E79" s="164"/>
      <c r="F79" s="165"/>
      <c r="G79" s="164"/>
      <c r="H79" s="165"/>
      <c r="I79" s="165"/>
      <c r="J79" s="165"/>
      <c r="K79" s="165"/>
      <c r="L79" s="165"/>
      <c r="M79" s="165"/>
      <c r="N79" s="165"/>
      <c r="O79" s="165"/>
      <c r="P79" s="165"/>
      <c r="Q79" s="164"/>
      <c r="R79" s="164"/>
    </row>
    <row r="80" customFormat="false" ht="15" hidden="false" customHeight="false" outlineLevel="0" collapsed="false">
      <c r="A80" s="164"/>
      <c r="B80" s="164"/>
      <c r="C80" s="164"/>
      <c r="D80" s="164"/>
      <c r="E80" s="164"/>
      <c r="F80" s="165"/>
      <c r="G80" s="164"/>
      <c r="H80" s="165"/>
      <c r="I80" s="165"/>
      <c r="J80" s="165"/>
      <c r="K80" s="165"/>
      <c r="L80" s="165"/>
      <c r="M80" s="165"/>
      <c r="N80" s="165"/>
      <c r="O80" s="165"/>
      <c r="P80" s="165"/>
      <c r="Q80" s="164"/>
      <c r="R80" s="164"/>
    </row>
    <row r="81" customFormat="false" ht="15" hidden="false" customHeight="false" outlineLevel="0" collapsed="false">
      <c r="A81" s="164"/>
      <c r="B81" s="164"/>
      <c r="C81" s="164"/>
      <c r="D81" s="164"/>
      <c r="E81" s="164"/>
      <c r="F81" s="165"/>
      <c r="G81" s="164"/>
      <c r="H81" s="165"/>
      <c r="I81" s="165"/>
      <c r="J81" s="165"/>
      <c r="K81" s="165"/>
      <c r="L81" s="165"/>
      <c r="M81" s="165"/>
      <c r="N81" s="165"/>
      <c r="O81" s="165"/>
      <c r="P81" s="165"/>
      <c r="Q81" s="164"/>
      <c r="R81" s="164"/>
    </row>
    <row r="82" customFormat="false" ht="15" hidden="false" customHeight="false" outlineLevel="0" collapsed="false">
      <c r="A82" s="164"/>
      <c r="B82" s="164"/>
      <c r="C82" s="164"/>
      <c r="D82" s="164"/>
      <c r="E82" s="164"/>
      <c r="F82" s="165"/>
      <c r="G82" s="164"/>
      <c r="H82" s="165"/>
      <c r="I82" s="165"/>
      <c r="J82" s="165"/>
      <c r="K82" s="165"/>
      <c r="L82" s="165"/>
      <c r="M82" s="165"/>
      <c r="N82" s="165"/>
      <c r="O82" s="165"/>
      <c r="P82" s="165"/>
      <c r="Q82" s="164"/>
      <c r="R82" s="164"/>
    </row>
    <row r="83" customFormat="false" ht="15" hidden="false" customHeight="false" outlineLevel="0" collapsed="false">
      <c r="A83" s="164"/>
      <c r="B83" s="164"/>
      <c r="C83" s="164"/>
      <c r="D83" s="164"/>
      <c r="E83" s="164"/>
      <c r="F83" s="165"/>
      <c r="G83" s="164"/>
      <c r="H83" s="165"/>
      <c r="I83" s="165"/>
      <c r="J83" s="165"/>
      <c r="K83" s="165"/>
      <c r="L83" s="165"/>
      <c r="M83" s="165"/>
      <c r="N83" s="165"/>
      <c r="O83" s="165"/>
      <c r="P83" s="165"/>
      <c r="Q83" s="164"/>
      <c r="R83" s="164"/>
    </row>
    <row r="84" customFormat="false" ht="15" hidden="false" customHeight="false" outlineLevel="0" collapsed="false">
      <c r="A84" s="164"/>
      <c r="B84" s="164"/>
      <c r="C84" s="164"/>
      <c r="D84" s="164"/>
      <c r="E84" s="164"/>
      <c r="F84" s="165"/>
      <c r="G84" s="164"/>
      <c r="H84" s="165"/>
      <c r="I84" s="165"/>
      <c r="J84" s="165"/>
      <c r="K84" s="165"/>
      <c r="L84" s="165"/>
      <c r="M84" s="165"/>
      <c r="N84" s="165"/>
      <c r="O84" s="165"/>
      <c r="P84" s="165"/>
      <c r="Q84" s="164"/>
      <c r="R84" s="164"/>
    </row>
  </sheetData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AA3AE"/>
    <pageSetUpPr fitToPage="false"/>
  </sheetPr>
  <dimension ref="A1:L84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2" min="2" style="0" width="10"/>
    <col collapsed="false" customWidth="true" hidden="false" outlineLevel="0" max="3" min="3" style="0" width="42"/>
    <col collapsed="false" customWidth="true" hidden="false" outlineLevel="0" max="4" min="4" style="0" width="2"/>
    <col collapsed="false" customWidth="true" hidden="false" outlineLevel="0" max="5" min="5" style="0" width="36"/>
    <col collapsed="false" customWidth="true" hidden="false" outlineLevel="0" max="6" min="6" style="0" width="8"/>
    <col collapsed="false" customWidth="true" hidden="false" outlineLevel="0" max="8" min="7" style="0" width="10"/>
    <col collapsed="false" customWidth="true" hidden="false" outlineLevel="0" max="9" min="9" style="0" width="11"/>
    <col collapsed="false" customWidth="true" hidden="false" outlineLevel="0" max="10" min="10" style="0" width="10"/>
    <col collapsed="false" customWidth="true" hidden="false" outlineLevel="0" max="11" min="11" style="0" width="11"/>
    <col collapsed="false" customWidth="true" hidden="false" outlineLevel="0" max="12" min="12" style="0" width="10"/>
  </cols>
  <sheetData>
    <row r="1" customFormat="false" ht="33.75" hidden="false" customHeight="true" outlineLevel="0" collapsed="false">
      <c r="A1" s="156" t="s">
        <v>58</v>
      </c>
      <c r="B1" s="157" t="s">
        <v>651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</row>
    <row r="2" customFormat="false" ht="15" hidden="false" customHeight="false" outlineLevel="0" collapsed="false">
      <c r="A2" s="158"/>
      <c r="B2" s="159" t="s">
        <v>652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</row>
    <row r="3" customFormat="false" ht="15" hidden="false" customHeight="false" outlineLevel="0" collapsed="false">
      <c r="A3" s="158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customFormat="false" ht="39.75" hidden="false" customHeight="true" outlineLevel="0" collapsed="false">
      <c r="A4" s="160" t="s">
        <v>653</v>
      </c>
      <c r="B4" s="160" t="s">
        <v>654</v>
      </c>
      <c r="C4" s="160" t="s">
        <v>195</v>
      </c>
      <c r="D4" s="158"/>
      <c r="E4" s="160" t="s">
        <v>655</v>
      </c>
      <c r="F4" s="160" t="s">
        <v>656</v>
      </c>
      <c r="G4" s="160" t="s">
        <v>77</v>
      </c>
      <c r="H4" s="160" t="s">
        <v>657</v>
      </c>
      <c r="I4" s="160" t="s">
        <v>658</v>
      </c>
      <c r="J4" s="160" t="s">
        <v>659</v>
      </c>
      <c r="K4" s="160" t="s">
        <v>660</v>
      </c>
      <c r="L4" s="160" t="s">
        <v>661</v>
      </c>
    </row>
    <row r="5" customFormat="false" ht="15" hidden="false" customHeight="false" outlineLevel="0" collapsed="false">
      <c r="A5" s="161" t="s">
        <v>662</v>
      </c>
      <c r="B5" s="161" t="n">
        <v>90</v>
      </c>
      <c r="C5" s="161" t="s">
        <v>663</v>
      </c>
      <c r="D5" s="158"/>
      <c r="E5" s="161" t="s">
        <v>664</v>
      </c>
      <c r="F5" s="166" t="s">
        <v>665</v>
      </c>
      <c r="G5" s="166"/>
      <c r="H5" s="166"/>
      <c r="I5" s="166"/>
      <c r="J5" s="166"/>
      <c r="K5" s="166"/>
      <c r="L5" s="166"/>
    </row>
    <row r="6" customFormat="false" ht="15" hidden="false" customHeight="false" outlineLevel="0" collapsed="false">
      <c r="A6" s="161" t="s">
        <v>666</v>
      </c>
      <c r="B6" s="161" t="n">
        <v>75</v>
      </c>
      <c r="C6" s="161" t="s">
        <v>667</v>
      </c>
      <c r="D6" s="158"/>
      <c r="E6" s="161" t="s">
        <v>668</v>
      </c>
      <c r="F6" s="166" t="s">
        <v>665</v>
      </c>
      <c r="G6" s="166"/>
      <c r="H6" s="166"/>
      <c r="I6" s="166"/>
      <c r="J6" s="166"/>
      <c r="K6" s="166"/>
      <c r="L6" s="166"/>
    </row>
    <row r="7" customFormat="false" ht="15" hidden="false" customHeight="false" outlineLevel="0" collapsed="false">
      <c r="A7" s="161" t="s">
        <v>669</v>
      </c>
      <c r="B7" s="161" t="n">
        <v>60</v>
      </c>
      <c r="C7" s="161" t="s">
        <v>670</v>
      </c>
      <c r="D7" s="158"/>
      <c r="E7" s="161" t="s">
        <v>671</v>
      </c>
      <c r="F7" s="166" t="s">
        <v>665</v>
      </c>
      <c r="G7" s="166"/>
      <c r="H7" s="166"/>
      <c r="I7" s="166"/>
      <c r="J7" s="166"/>
      <c r="K7" s="166"/>
      <c r="L7" s="166"/>
    </row>
    <row r="8" customFormat="false" ht="15" hidden="false" customHeight="false" outlineLevel="0" collapsed="false">
      <c r="A8" s="161" t="s">
        <v>672</v>
      </c>
      <c r="B8" s="161" t="n">
        <v>30</v>
      </c>
      <c r="C8" s="161" t="s">
        <v>673</v>
      </c>
      <c r="D8" s="158"/>
      <c r="E8" s="161" t="s">
        <v>674</v>
      </c>
      <c r="F8" s="166" t="s">
        <v>665</v>
      </c>
      <c r="G8" s="166"/>
      <c r="H8" s="166"/>
      <c r="I8" s="166"/>
      <c r="J8" s="166"/>
      <c r="K8" s="166"/>
      <c r="L8" s="166"/>
    </row>
    <row r="9" customFormat="false" ht="15" hidden="false" customHeight="false" outlineLevel="0" collapsed="false">
      <c r="A9" s="161" t="s">
        <v>675</v>
      </c>
      <c r="B9" s="161" t="n">
        <v>30</v>
      </c>
      <c r="C9" s="161" t="s">
        <v>676</v>
      </c>
      <c r="D9" s="158"/>
      <c r="E9" s="161" t="s">
        <v>677</v>
      </c>
      <c r="F9" s="166" t="s">
        <v>665</v>
      </c>
      <c r="G9" s="166"/>
      <c r="H9" s="166"/>
      <c r="I9" s="166"/>
      <c r="J9" s="166"/>
      <c r="K9" s="166"/>
      <c r="L9" s="166"/>
    </row>
    <row r="10" customFormat="false" ht="15" hidden="false" customHeight="false" outlineLevel="0" collapsed="false">
      <c r="A10" s="161" t="s">
        <v>678</v>
      </c>
      <c r="B10" s="161" t="n">
        <v>21</v>
      </c>
      <c r="C10" s="161" t="s">
        <v>679</v>
      </c>
      <c r="D10" s="158"/>
      <c r="E10" s="161" t="s">
        <v>680</v>
      </c>
      <c r="F10" s="166" t="s">
        <v>665</v>
      </c>
      <c r="G10" s="166"/>
      <c r="H10" s="166"/>
      <c r="I10" s="166"/>
      <c r="J10" s="166"/>
      <c r="K10" s="166"/>
      <c r="L10" s="166"/>
    </row>
    <row r="11" customFormat="false" ht="15" hidden="false" customHeight="false" outlineLevel="0" collapsed="false">
      <c r="A11" s="161" t="s">
        <v>681</v>
      </c>
      <c r="B11" s="161" t="n">
        <v>60</v>
      </c>
      <c r="C11" s="161" t="s">
        <v>682</v>
      </c>
      <c r="D11" s="158"/>
      <c r="E11" s="161" t="s">
        <v>683</v>
      </c>
      <c r="F11" s="166" t="s">
        <v>665</v>
      </c>
      <c r="G11" s="166"/>
      <c r="H11" s="166"/>
      <c r="I11" s="166"/>
      <c r="J11" s="166"/>
      <c r="K11" s="166"/>
      <c r="L11" s="166"/>
    </row>
    <row r="12" customFormat="false" ht="15" hidden="false" customHeight="false" outlineLevel="0" collapsed="false">
      <c r="A12" s="161" t="s">
        <v>684</v>
      </c>
      <c r="B12" s="161" t="n">
        <v>10</v>
      </c>
      <c r="C12" s="161" t="s">
        <v>685</v>
      </c>
      <c r="D12" s="158"/>
      <c r="E12" s="161" t="s">
        <v>686</v>
      </c>
      <c r="F12" s="166" t="s">
        <v>665</v>
      </c>
      <c r="G12" s="166"/>
      <c r="H12" s="166"/>
      <c r="I12" s="166"/>
      <c r="J12" s="166"/>
      <c r="K12" s="166"/>
      <c r="L12" s="166"/>
    </row>
    <row r="13" customFormat="false" ht="15" hidden="false" customHeight="false" outlineLevel="0" collapsed="false">
      <c r="A13" s="161" t="s">
        <v>687</v>
      </c>
      <c r="B13" s="161" t="n">
        <v>7</v>
      </c>
      <c r="C13" s="161" t="s">
        <v>688</v>
      </c>
      <c r="D13" s="158"/>
      <c r="E13" s="161" t="s">
        <v>689</v>
      </c>
      <c r="F13" s="166" t="s">
        <v>665</v>
      </c>
      <c r="G13" s="166"/>
      <c r="H13" s="166"/>
      <c r="I13" s="166"/>
      <c r="J13" s="166"/>
      <c r="K13" s="166"/>
      <c r="L13" s="166"/>
    </row>
    <row r="14" customFormat="false" ht="15" hidden="false" customHeight="false" outlineLevel="0" collapsed="false">
      <c r="A14" s="161" t="s">
        <v>690</v>
      </c>
      <c r="B14" s="161" t="n">
        <v>7</v>
      </c>
      <c r="C14" s="161" t="s">
        <v>691</v>
      </c>
      <c r="D14" s="158"/>
      <c r="E14" s="161" t="s">
        <v>692</v>
      </c>
      <c r="F14" s="166" t="s">
        <v>665</v>
      </c>
      <c r="G14" s="166"/>
      <c r="H14" s="166"/>
      <c r="I14" s="166"/>
      <c r="J14" s="166"/>
      <c r="K14" s="166"/>
      <c r="L14" s="166"/>
    </row>
    <row r="15" customFormat="false" ht="15" hidden="false" customHeight="false" outlineLevel="0" collapsed="false">
      <c r="A15" s="161" t="s">
        <v>693</v>
      </c>
      <c r="B15" s="161" t="n">
        <v>5</v>
      </c>
      <c r="C15" s="161" t="s">
        <v>694</v>
      </c>
      <c r="D15" s="158"/>
      <c r="E15" s="161" t="s">
        <v>695</v>
      </c>
      <c r="F15" s="166" t="s">
        <v>665</v>
      </c>
      <c r="G15" s="166"/>
      <c r="H15" s="166"/>
      <c r="I15" s="166"/>
      <c r="J15" s="166"/>
      <c r="K15" s="166"/>
      <c r="L15" s="166"/>
    </row>
    <row r="16" customFormat="false" ht="15" hidden="false" customHeight="false" outlineLevel="0" collapsed="false">
      <c r="A16" s="161" t="s">
        <v>696</v>
      </c>
      <c r="B16" s="161" t="n">
        <v>3</v>
      </c>
      <c r="C16" s="161" t="s">
        <v>697</v>
      </c>
      <c r="D16" s="158"/>
      <c r="E16" s="161" t="s">
        <v>698</v>
      </c>
      <c r="F16" s="166" t="s">
        <v>665</v>
      </c>
      <c r="G16" s="166"/>
      <c r="H16" s="166"/>
      <c r="I16" s="166"/>
      <c r="J16" s="166"/>
      <c r="K16" s="166"/>
      <c r="L16" s="166"/>
    </row>
    <row r="17" customFormat="false" ht="15" hidden="false" customHeight="false" outlineLevel="0" collapsed="false">
      <c r="A17" s="161" t="s">
        <v>699</v>
      </c>
      <c r="B17" s="161" t="n">
        <v>2</v>
      </c>
      <c r="C17" s="161" t="s">
        <v>700</v>
      </c>
      <c r="D17" s="158"/>
      <c r="E17" s="161" t="s">
        <v>701</v>
      </c>
      <c r="F17" s="166" t="s">
        <v>665</v>
      </c>
      <c r="G17" s="166"/>
      <c r="H17" s="166"/>
      <c r="I17" s="166"/>
      <c r="J17" s="166"/>
      <c r="K17" s="166"/>
      <c r="L17" s="166"/>
    </row>
    <row r="18" customFormat="false" ht="15" hidden="false" customHeight="false" outlineLevel="0" collapsed="false">
      <c r="A18" s="161" t="s">
        <v>702</v>
      </c>
      <c r="B18" s="161" t="n">
        <v>2</v>
      </c>
      <c r="C18" s="161"/>
      <c r="D18" s="158"/>
      <c r="E18" s="161" t="s">
        <v>703</v>
      </c>
      <c r="F18" s="166"/>
      <c r="G18" s="166" t="s">
        <v>665</v>
      </c>
      <c r="H18" s="166"/>
      <c r="I18" s="166"/>
      <c r="J18" s="166" t="s">
        <v>665</v>
      </c>
      <c r="K18" s="166" t="s">
        <v>665</v>
      </c>
      <c r="L18" s="166"/>
    </row>
    <row r="19" customFormat="false" ht="15" hidden="false" customHeight="false" outlineLevel="0" collapsed="false">
      <c r="A19" s="161" t="s">
        <v>704</v>
      </c>
      <c r="B19" s="161" t="n">
        <v>1</v>
      </c>
      <c r="C19" s="161" t="s">
        <v>705</v>
      </c>
      <c r="D19" s="158"/>
      <c r="E19" s="161" t="s">
        <v>706</v>
      </c>
      <c r="F19" s="166"/>
      <c r="G19" s="166" t="s">
        <v>665</v>
      </c>
      <c r="H19" s="166" t="s">
        <v>665</v>
      </c>
      <c r="I19" s="166"/>
      <c r="J19" s="166"/>
      <c r="K19" s="166"/>
      <c r="L19" s="166"/>
    </row>
    <row r="20" customFormat="false" ht="15" hidden="false" customHeight="false" outlineLevel="0" collapsed="false">
      <c r="A20" s="161" t="s">
        <v>707</v>
      </c>
      <c r="B20" s="161" t="n">
        <v>1</v>
      </c>
      <c r="C20" s="161" t="s">
        <v>708</v>
      </c>
      <c r="D20" s="158"/>
      <c r="E20" s="161" t="s">
        <v>709</v>
      </c>
      <c r="F20" s="166"/>
      <c r="G20" s="166"/>
      <c r="H20" s="166" t="s">
        <v>665</v>
      </c>
      <c r="I20" s="166"/>
      <c r="J20" s="166"/>
      <c r="K20" s="166" t="s">
        <v>665</v>
      </c>
      <c r="L20" s="166" t="s">
        <v>665</v>
      </c>
    </row>
    <row r="21" customFormat="false" ht="15" hidden="false" customHeight="false" outlineLevel="0" collapsed="false">
      <c r="A21" s="161"/>
      <c r="B21" s="161"/>
      <c r="C21" s="161"/>
      <c r="D21" s="158"/>
      <c r="E21" s="161" t="s">
        <v>710</v>
      </c>
      <c r="F21" s="166"/>
      <c r="G21" s="166"/>
      <c r="H21" s="166" t="s">
        <v>665</v>
      </c>
      <c r="I21" s="166" t="s">
        <v>665</v>
      </c>
      <c r="J21" s="166" t="s">
        <v>665</v>
      </c>
      <c r="K21" s="166" t="s">
        <v>665</v>
      </c>
      <c r="L21" s="166" t="s">
        <v>665</v>
      </c>
    </row>
    <row r="22" customFormat="false" ht="15" hidden="false" customHeight="false" outlineLevel="0" collapsed="false">
      <c r="A22" s="161"/>
      <c r="B22" s="161"/>
      <c r="C22" s="161"/>
      <c r="D22" s="158"/>
      <c r="E22" s="161" t="s">
        <v>711</v>
      </c>
      <c r="F22" s="166"/>
      <c r="G22" s="166"/>
      <c r="H22" s="166" t="s">
        <v>665</v>
      </c>
      <c r="I22" s="166"/>
      <c r="J22" s="166" t="s">
        <v>665</v>
      </c>
      <c r="K22" s="166" t="s">
        <v>665</v>
      </c>
      <c r="L22" s="166" t="s">
        <v>665</v>
      </c>
    </row>
    <row r="23" customFormat="false" ht="15" hidden="false" customHeight="false" outlineLevel="0" collapsed="false">
      <c r="A23" s="161"/>
      <c r="B23" s="161"/>
      <c r="C23" s="161"/>
      <c r="D23" s="158"/>
      <c r="E23" s="161" t="s">
        <v>712</v>
      </c>
      <c r="F23" s="166"/>
      <c r="G23" s="166"/>
      <c r="H23" s="166" t="s">
        <v>665</v>
      </c>
      <c r="I23" s="166"/>
      <c r="J23" s="166"/>
      <c r="K23" s="166" t="s">
        <v>665</v>
      </c>
      <c r="L23" s="166"/>
    </row>
    <row r="24" customFormat="false" ht="15" hidden="false" customHeight="false" outlineLevel="0" collapsed="false">
      <c r="A24" s="161"/>
      <c r="B24" s="161"/>
      <c r="C24" s="161"/>
      <c r="D24" s="158"/>
      <c r="E24" s="161" t="s">
        <v>713</v>
      </c>
      <c r="F24" s="166"/>
      <c r="G24" s="166"/>
      <c r="H24" s="166" t="s">
        <v>665</v>
      </c>
      <c r="I24" s="166"/>
      <c r="J24" s="166"/>
      <c r="K24" s="166"/>
      <c r="L24" s="166" t="s">
        <v>665</v>
      </c>
    </row>
    <row r="25" customFormat="false" ht="15" hidden="false" customHeight="false" outlineLevel="0" collapsed="false">
      <c r="A25" s="161"/>
      <c r="B25" s="161"/>
      <c r="C25" s="161"/>
      <c r="D25" s="158"/>
      <c r="E25" s="161" t="s">
        <v>714</v>
      </c>
      <c r="F25" s="166"/>
      <c r="G25" s="166"/>
      <c r="H25" s="166"/>
      <c r="I25" s="166" t="s">
        <v>665</v>
      </c>
      <c r="J25" s="166"/>
      <c r="K25" s="166"/>
      <c r="L25" s="166"/>
    </row>
    <row r="26" customFormat="false" ht="15" hidden="false" customHeight="false" outlineLevel="0" collapsed="false">
      <c r="A26" s="161"/>
      <c r="B26" s="161"/>
      <c r="C26" s="161"/>
      <c r="D26" s="158"/>
      <c r="E26" s="161" t="s">
        <v>715</v>
      </c>
      <c r="F26" s="166"/>
      <c r="G26" s="166"/>
      <c r="H26" s="166"/>
      <c r="I26" s="166" t="s">
        <v>665</v>
      </c>
      <c r="J26" s="166"/>
      <c r="K26" s="166"/>
      <c r="L26" s="166"/>
    </row>
    <row r="27" customFormat="false" ht="15" hidden="false" customHeight="false" outlineLevel="0" collapsed="false">
      <c r="A27" s="161"/>
      <c r="B27" s="161"/>
      <c r="C27" s="161"/>
      <c r="D27" s="158"/>
      <c r="E27" s="161" t="s">
        <v>716</v>
      </c>
      <c r="F27" s="166"/>
      <c r="G27" s="166"/>
      <c r="H27" s="166"/>
      <c r="I27" s="166" t="s">
        <v>665</v>
      </c>
      <c r="J27" s="166"/>
      <c r="K27" s="166"/>
      <c r="L27" s="166"/>
    </row>
    <row r="28" customFormat="false" ht="15" hidden="false" customHeight="false" outlineLevel="0" collapsed="false">
      <c r="A28" s="161"/>
      <c r="B28" s="161"/>
      <c r="C28" s="161"/>
      <c r="D28" s="158"/>
      <c r="E28" s="161" t="s">
        <v>717</v>
      </c>
      <c r="F28" s="166"/>
      <c r="G28" s="166"/>
      <c r="H28" s="166"/>
      <c r="I28" s="166" t="s">
        <v>665</v>
      </c>
      <c r="J28" s="166"/>
      <c r="K28" s="166"/>
      <c r="L28" s="166" t="s">
        <v>665</v>
      </c>
    </row>
    <row r="29" customFormat="false" ht="15" hidden="false" customHeight="false" outlineLevel="0" collapsed="false">
      <c r="A29" s="161"/>
      <c r="B29" s="161"/>
      <c r="C29" s="161"/>
      <c r="D29" s="158"/>
      <c r="E29" s="161" t="s">
        <v>718</v>
      </c>
      <c r="F29" s="166"/>
      <c r="G29" s="166"/>
      <c r="H29" s="166"/>
      <c r="I29" s="166" t="s">
        <v>665</v>
      </c>
      <c r="J29" s="166"/>
      <c r="K29" s="166"/>
      <c r="L29" s="166"/>
    </row>
    <row r="30" customFormat="false" ht="15" hidden="false" customHeight="false" outlineLevel="0" collapsed="false">
      <c r="A30" s="161"/>
      <c r="B30" s="161"/>
      <c r="C30" s="161"/>
      <c r="D30" s="158"/>
      <c r="E30" s="161" t="s">
        <v>719</v>
      </c>
      <c r="F30" s="166"/>
      <c r="G30" s="166"/>
      <c r="H30" s="166"/>
      <c r="I30" s="166"/>
      <c r="J30" s="166" t="s">
        <v>665</v>
      </c>
      <c r="K30" s="166"/>
      <c r="L30" s="166"/>
    </row>
    <row r="31" customFormat="false" ht="15" hidden="false" customHeight="false" outlineLevel="0" collapsed="false">
      <c r="A31" s="161"/>
      <c r="B31" s="161"/>
      <c r="C31" s="161"/>
      <c r="D31" s="158"/>
      <c r="E31" s="161" t="s">
        <v>720</v>
      </c>
      <c r="F31" s="166"/>
      <c r="G31" s="166"/>
      <c r="H31" s="166"/>
      <c r="I31" s="166"/>
      <c r="J31" s="166" t="s">
        <v>665</v>
      </c>
      <c r="K31" s="166"/>
      <c r="L31" s="166"/>
    </row>
    <row r="32" customFormat="false" ht="15" hidden="false" customHeight="false" outlineLevel="0" collapsed="false">
      <c r="A32" s="161"/>
      <c r="B32" s="161"/>
      <c r="C32" s="161"/>
      <c r="D32" s="158"/>
      <c r="E32" s="161" t="s">
        <v>721</v>
      </c>
      <c r="F32" s="166"/>
      <c r="G32" s="166"/>
      <c r="H32" s="166"/>
      <c r="I32" s="166"/>
      <c r="J32" s="166" t="s">
        <v>665</v>
      </c>
      <c r="K32" s="166" t="s">
        <v>665</v>
      </c>
      <c r="L32" s="166"/>
    </row>
    <row r="33" customFormat="false" ht="15" hidden="false" customHeight="false" outlineLevel="0" collapsed="false">
      <c r="A33" s="161"/>
      <c r="B33" s="161"/>
      <c r="C33" s="161"/>
      <c r="D33" s="158"/>
      <c r="E33" s="161" t="s">
        <v>722</v>
      </c>
      <c r="F33" s="166"/>
      <c r="G33" s="166" t="s">
        <v>665</v>
      </c>
      <c r="H33" s="166"/>
      <c r="I33" s="166"/>
      <c r="J33" s="166" t="s">
        <v>665</v>
      </c>
      <c r="K33" s="166"/>
      <c r="L33" s="166" t="s">
        <v>665</v>
      </c>
    </row>
    <row r="34" customFormat="false" ht="15" hidden="false" customHeight="false" outlineLevel="0" collapsed="false">
      <c r="A34" s="161"/>
      <c r="B34" s="161"/>
      <c r="C34" s="161"/>
      <c r="D34" s="158"/>
      <c r="E34" s="161" t="s">
        <v>723</v>
      </c>
      <c r="F34" s="166"/>
      <c r="G34" s="166"/>
      <c r="H34" s="166"/>
      <c r="I34" s="166"/>
      <c r="J34" s="166"/>
      <c r="K34" s="166" t="s">
        <v>665</v>
      </c>
      <c r="L34" s="166"/>
    </row>
    <row r="35" customFormat="false" ht="15" hidden="false" customHeight="false" outlineLevel="0" collapsed="false">
      <c r="A35" s="158"/>
      <c r="B35" s="158"/>
      <c r="C35" s="158"/>
      <c r="D35" s="158"/>
      <c r="E35" s="161" t="s">
        <v>724</v>
      </c>
      <c r="F35" s="166"/>
      <c r="G35" s="166"/>
      <c r="H35" s="166"/>
      <c r="I35" s="166"/>
      <c r="J35" s="166"/>
      <c r="K35" s="166" t="s">
        <v>665</v>
      </c>
      <c r="L35" s="166"/>
    </row>
    <row r="36" customFormat="false" ht="15" hidden="false" customHeight="false" outlineLevel="0" collapsed="false">
      <c r="A36" s="158"/>
      <c r="B36" s="158"/>
      <c r="C36" s="158"/>
      <c r="D36" s="158"/>
      <c r="E36" s="161" t="s">
        <v>725</v>
      </c>
      <c r="F36" s="166"/>
      <c r="G36" s="166"/>
      <c r="H36" s="166"/>
      <c r="I36" s="166"/>
      <c r="J36" s="166"/>
      <c r="K36" s="166" t="s">
        <v>665</v>
      </c>
      <c r="L36" s="166"/>
    </row>
    <row r="37" customFormat="false" ht="15" hidden="false" customHeight="false" outlineLevel="0" collapsed="false">
      <c r="A37" s="158"/>
      <c r="B37" s="158"/>
      <c r="C37" s="158"/>
      <c r="D37" s="158"/>
      <c r="E37" s="161" t="s">
        <v>726</v>
      </c>
      <c r="F37" s="166"/>
      <c r="G37" s="166"/>
      <c r="H37" s="166"/>
      <c r="I37" s="166"/>
      <c r="J37" s="166"/>
      <c r="K37" s="166" t="s">
        <v>665</v>
      </c>
      <c r="L37" s="166"/>
    </row>
    <row r="38" customFormat="false" ht="15" hidden="false" customHeight="false" outlineLevel="0" collapsed="false">
      <c r="A38" s="158"/>
      <c r="B38" s="158"/>
      <c r="C38" s="158"/>
      <c r="D38" s="158"/>
      <c r="E38" s="161" t="s">
        <v>727</v>
      </c>
      <c r="F38" s="166"/>
      <c r="G38" s="166"/>
      <c r="H38" s="166"/>
      <c r="I38" s="166" t="s">
        <v>665</v>
      </c>
      <c r="J38" s="166"/>
      <c r="K38" s="166"/>
      <c r="L38" s="166" t="s">
        <v>665</v>
      </c>
    </row>
    <row r="39" customFormat="false" ht="15" hidden="false" customHeight="false" outlineLevel="0" collapsed="false">
      <c r="A39" s="158"/>
      <c r="B39" s="158"/>
      <c r="C39" s="158"/>
      <c r="D39" s="158"/>
      <c r="E39" s="161" t="s">
        <v>728</v>
      </c>
      <c r="F39" s="166"/>
      <c r="G39" s="166"/>
      <c r="H39" s="166" t="s">
        <v>665</v>
      </c>
      <c r="I39" s="166"/>
      <c r="J39" s="166"/>
      <c r="K39" s="166"/>
      <c r="L39" s="166" t="s">
        <v>665</v>
      </c>
    </row>
    <row r="40" customFormat="false" ht="15" hidden="false" customHeight="false" outlineLevel="0" collapsed="false">
      <c r="A40" s="158"/>
      <c r="B40" s="158"/>
      <c r="C40" s="158"/>
      <c r="D40" s="158"/>
      <c r="E40" s="161" t="s">
        <v>729</v>
      </c>
      <c r="F40" s="166"/>
      <c r="G40" s="166"/>
      <c r="H40" s="166"/>
      <c r="I40" s="166" t="s">
        <v>665</v>
      </c>
      <c r="J40" s="166"/>
      <c r="K40" s="166"/>
      <c r="L40" s="166" t="s">
        <v>665</v>
      </c>
    </row>
    <row r="41" customFormat="false" ht="15" hidden="false" customHeight="false" outlineLevel="0" collapsed="false">
      <c r="A41" s="158"/>
      <c r="B41" s="158"/>
      <c r="C41" s="158"/>
      <c r="D41" s="158"/>
      <c r="E41" s="161" t="s">
        <v>730</v>
      </c>
      <c r="F41" s="166"/>
      <c r="G41" s="166"/>
      <c r="H41" s="166"/>
      <c r="I41" s="166" t="s">
        <v>665</v>
      </c>
      <c r="J41" s="166" t="s">
        <v>665</v>
      </c>
      <c r="K41" s="166" t="s">
        <v>665</v>
      </c>
      <c r="L41" s="166" t="s">
        <v>665</v>
      </c>
    </row>
    <row r="42" customFormat="false" ht="15" hidden="false" customHeight="false" outlineLevel="0" collapsed="false">
      <c r="A42" s="158"/>
      <c r="B42" s="158"/>
      <c r="C42" s="158"/>
      <c r="D42" s="158"/>
      <c r="E42" s="161" t="s">
        <v>731</v>
      </c>
      <c r="F42" s="166"/>
      <c r="G42" s="166"/>
      <c r="H42" s="166" t="s">
        <v>665</v>
      </c>
      <c r="I42" s="166"/>
      <c r="J42" s="166"/>
      <c r="K42" s="166"/>
      <c r="L42" s="166" t="s">
        <v>665</v>
      </c>
    </row>
    <row r="43" customFormat="false" ht="15" hidden="false" customHeight="false" outlineLevel="0" collapsed="false">
      <c r="A43" s="158"/>
      <c r="B43" s="158"/>
      <c r="C43" s="158"/>
      <c r="D43" s="158"/>
      <c r="E43" s="161" t="s">
        <v>732</v>
      </c>
      <c r="F43" s="166" t="s">
        <v>665</v>
      </c>
      <c r="G43" s="166"/>
      <c r="H43" s="166"/>
      <c r="I43" s="166"/>
      <c r="J43" s="166"/>
      <c r="K43" s="166"/>
      <c r="L43" s="166"/>
    </row>
    <row r="44" customFormat="false" ht="15" hidden="false" customHeight="false" outlineLevel="0" collapsed="false">
      <c r="A44" s="158"/>
      <c r="B44" s="158"/>
      <c r="C44" s="158"/>
      <c r="D44" s="158"/>
      <c r="E44" s="161" t="s">
        <v>733</v>
      </c>
      <c r="F44" s="166" t="s">
        <v>665</v>
      </c>
      <c r="G44" s="166"/>
      <c r="H44" s="166"/>
      <c r="I44" s="166"/>
      <c r="J44" s="166"/>
      <c r="K44" s="166"/>
      <c r="L44" s="166"/>
    </row>
    <row r="45" customFormat="false" ht="15" hidden="false" customHeight="false" outlineLevel="0" collapsed="false">
      <c r="A45" s="158"/>
      <c r="B45" s="158"/>
      <c r="C45" s="158"/>
      <c r="D45" s="158"/>
      <c r="E45" s="161"/>
      <c r="F45" s="166"/>
      <c r="G45" s="166"/>
      <c r="H45" s="166"/>
      <c r="I45" s="166"/>
      <c r="J45" s="166"/>
      <c r="K45" s="166"/>
      <c r="L45" s="166"/>
    </row>
    <row r="46" customFormat="false" ht="15" hidden="false" customHeight="false" outlineLevel="0" collapsed="false">
      <c r="A46" s="158"/>
      <c r="B46" s="158"/>
      <c r="C46" s="158"/>
      <c r="D46" s="158"/>
      <c r="E46" s="161"/>
      <c r="F46" s="166"/>
      <c r="G46" s="166"/>
      <c r="H46" s="166"/>
      <c r="I46" s="166"/>
      <c r="J46" s="166"/>
      <c r="K46" s="166"/>
      <c r="L46" s="166"/>
    </row>
    <row r="47" customFormat="false" ht="15" hidden="false" customHeight="false" outlineLevel="0" collapsed="false">
      <c r="A47" s="158"/>
      <c r="B47" s="158"/>
      <c r="C47" s="158"/>
      <c r="D47" s="158"/>
      <c r="E47" s="161"/>
      <c r="F47" s="166"/>
      <c r="G47" s="166"/>
      <c r="H47" s="166"/>
      <c r="I47" s="166"/>
      <c r="J47" s="166"/>
      <c r="K47" s="166"/>
      <c r="L47" s="166"/>
    </row>
    <row r="48" customFormat="false" ht="15" hidden="false" customHeight="false" outlineLevel="0" collapsed="false">
      <c r="A48" s="158"/>
      <c r="B48" s="158"/>
      <c r="C48" s="158"/>
      <c r="D48" s="158"/>
      <c r="E48" s="161"/>
      <c r="F48" s="166"/>
      <c r="G48" s="166"/>
      <c r="H48" s="166"/>
      <c r="I48" s="166"/>
      <c r="J48" s="166"/>
      <c r="K48" s="166"/>
      <c r="L48" s="166"/>
    </row>
    <row r="49" customFormat="false" ht="15" hidden="false" customHeight="false" outlineLevel="0" collapsed="false">
      <c r="A49" s="158"/>
      <c r="B49" s="158"/>
      <c r="C49" s="158"/>
      <c r="D49" s="158"/>
      <c r="E49" s="161"/>
      <c r="F49" s="166"/>
      <c r="G49" s="166"/>
      <c r="H49" s="166"/>
      <c r="I49" s="166"/>
      <c r="J49" s="166"/>
      <c r="K49" s="166"/>
      <c r="L49" s="166"/>
    </row>
    <row r="50" customFormat="false" ht="15" hidden="false" customHeight="false" outlineLevel="0" collapsed="false">
      <c r="A50" s="158"/>
      <c r="B50" s="158"/>
      <c r="C50" s="158"/>
      <c r="D50" s="158"/>
      <c r="E50" s="161"/>
      <c r="F50" s="166"/>
      <c r="G50" s="166"/>
      <c r="H50" s="166"/>
      <c r="I50" s="166"/>
      <c r="J50" s="166"/>
      <c r="K50" s="166"/>
      <c r="L50" s="166"/>
    </row>
    <row r="51" customFormat="false" ht="15" hidden="false" customHeight="false" outlineLevel="0" collapsed="false">
      <c r="A51" s="158"/>
      <c r="B51" s="158"/>
      <c r="C51" s="158"/>
      <c r="D51" s="158"/>
      <c r="E51" s="161"/>
      <c r="F51" s="166"/>
      <c r="G51" s="166"/>
      <c r="H51" s="166"/>
      <c r="I51" s="166"/>
      <c r="J51" s="166"/>
      <c r="K51" s="166"/>
      <c r="L51" s="166"/>
    </row>
    <row r="52" customFormat="false" ht="15" hidden="false" customHeight="false" outlineLevel="0" collapsed="false">
      <c r="A52" s="158"/>
      <c r="B52" s="158"/>
      <c r="C52" s="158"/>
      <c r="D52" s="158"/>
      <c r="E52" s="161"/>
      <c r="F52" s="166"/>
      <c r="G52" s="166"/>
      <c r="H52" s="166"/>
      <c r="I52" s="166"/>
      <c r="J52" s="166"/>
      <c r="K52" s="166"/>
      <c r="L52" s="166"/>
    </row>
    <row r="53" customFormat="false" ht="15" hidden="false" customHeight="false" outlineLevel="0" collapsed="false">
      <c r="A53" s="158"/>
      <c r="B53" s="158"/>
      <c r="C53" s="158"/>
      <c r="D53" s="158"/>
      <c r="E53" s="161"/>
      <c r="F53" s="166"/>
      <c r="G53" s="166"/>
      <c r="H53" s="166"/>
      <c r="I53" s="166"/>
      <c r="J53" s="166"/>
      <c r="K53" s="166"/>
      <c r="L53" s="166"/>
    </row>
    <row r="54" customFormat="false" ht="15" hidden="false" customHeight="false" outlineLevel="0" collapsed="false">
      <c r="A54" s="158"/>
      <c r="B54" s="158"/>
      <c r="C54" s="158"/>
      <c r="D54" s="158"/>
      <c r="E54" s="161"/>
      <c r="F54" s="166"/>
      <c r="G54" s="166"/>
      <c r="H54" s="166"/>
      <c r="I54" s="166"/>
      <c r="J54" s="166"/>
      <c r="K54" s="166"/>
      <c r="L54" s="166"/>
    </row>
    <row r="55" customFormat="false" ht="15" hidden="false" customHeight="false" outlineLevel="0" collapsed="false">
      <c r="A55" s="158"/>
      <c r="B55" s="158"/>
      <c r="C55" s="158"/>
      <c r="D55" s="158"/>
      <c r="E55" s="161"/>
      <c r="F55" s="166"/>
      <c r="G55" s="166"/>
      <c r="H55" s="166"/>
      <c r="I55" s="166"/>
      <c r="J55" s="166"/>
      <c r="K55" s="166"/>
      <c r="L55" s="166"/>
    </row>
    <row r="56" customFormat="false" ht="15" hidden="false" customHeight="false" outlineLevel="0" collapsed="false">
      <c r="A56" s="158"/>
      <c r="B56" s="158"/>
      <c r="C56" s="158"/>
      <c r="D56" s="158"/>
      <c r="E56" s="161"/>
      <c r="F56" s="166"/>
      <c r="G56" s="166"/>
      <c r="H56" s="166"/>
      <c r="I56" s="166"/>
      <c r="J56" s="166"/>
      <c r="K56" s="166"/>
      <c r="L56" s="166"/>
    </row>
    <row r="57" customFormat="false" ht="15" hidden="false" customHeight="false" outlineLevel="0" collapsed="false">
      <c r="A57" s="158"/>
      <c r="B57" s="158"/>
      <c r="C57" s="158"/>
      <c r="D57" s="158"/>
      <c r="E57" s="161"/>
      <c r="F57" s="166"/>
      <c r="G57" s="166"/>
      <c r="H57" s="166"/>
      <c r="I57" s="166"/>
      <c r="J57" s="166"/>
      <c r="K57" s="166"/>
      <c r="L57" s="166"/>
    </row>
    <row r="58" customFormat="false" ht="15" hidden="false" customHeight="false" outlineLevel="0" collapsed="false">
      <c r="A58" s="158"/>
      <c r="B58" s="158"/>
      <c r="C58" s="158"/>
      <c r="D58" s="158"/>
      <c r="E58" s="161"/>
      <c r="F58" s="166"/>
      <c r="G58" s="166"/>
      <c r="H58" s="166"/>
      <c r="I58" s="166"/>
      <c r="J58" s="166"/>
      <c r="K58" s="166"/>
      <c r="L58" s="166"/>
    </row>
    <row r="59" customFormat="false" ht="15" hidden="false" customHeight="false" outlineLevel="0" collapsed="false">
      <c r="A59" s="158"/>
      <c r="B59" s="158"/>
      <c r="C59" s="158"/>
      <c r="D59" s="158"/>
      <c r="E59" s="161"/>
      <c r="F59" s="166"/>
      <c r="G59" s="166"/>
      <c r="H59" s="166"/>
      <c r="I59" s="166"/>
      <c r="J59" s="166"/>
      <c r="K59" s="166"/>
      <c r="L59" s="166"/>
    </row>
    <row r="60" customFormat="false" ht="15" hidden="false" customHeight="false" outlineLevel="0" collapsed="false">
      <c r="A60" s="158"/>
      <c r="B60" s="158"/>
      <c r="C60" s="158"/>
      <c r="D60" s="158"/>
      <c r="E60" s="161"/>
      <c r="F60" s="166"/>
      <c r="G60" s="166"/>
      <c r="H60" s="166"/>
      <c r="I60" s="166"/>
      <c r="J60" s="166"/>
      <c r="K60" s="166"/>
      <c r="L60" s="166"/>
    </row>
    <row r="61" customFormat="false" ht="15" hidden="false" customHeight="false" outlineLevel="0" collapsed="false">
      <c r="A61" s="158"/>
      <c r="B61" s="158"/>
      <c r="C61" s="158"/>
      <c r="D61" s="158"/>
      <c r="E61" s="161"/>
      <c r="F61" s="166"/>
      <c r="G61" s="166"/>
      <c r="H61" s="166"/>
      <c r="I61" s="166"/>
      <c r="J61" s="166"/>
      <c r="K61" s="166"/>
      <c r="L61" s="166"/>
    </row>
    <row r="62" customFormat="false" ht="15" hidden="false" customHeight="false" outlineLevel="0" collapsed="false">
      <c r="A62" s="158"/>
      <c r="B62" s="158"/>
      <c r="C62" s="158"/>
      <c r="D62" s="158"/>
      <c r="E62" s="161"/>
      <c r="F62" s="166"/>
      <c r="G62" s="166"/>
      <c r="H62" s="166"/>
      <c r="I62" s="166"/>
      <c r="J62" s="166"/>
      <c r="K62" s="166"/>
      <c r="L62" s="166"/>
    </row>
    <row r="63" customFormat="false" ht="15" hidden="false" customHeight="false" outlineLevel="0" collapsed="false">
      <c r="A63" s="158"/>
      <c r="B63" s="158"/>
      <c r="C63" s="158"/>
      <c r="D63" s="158"/>
      <c r="E63" s="161"/>
      <c r="F63" s="166"/>
      <c r="G63" s="166"/>
      <c r="H63" s="166"/>
      <c r="I63" s="166"/>
      <c r="J63" s="166"/>
      <c r="K63" s="166"/>
      <c r="L63" s="166"/>
    </row>
    <row r="64" customFormat="false" ht="15" hidden="false" customHeight="false" outlineLevel="0" collapsed="false">
      <c r="A64" s="158"/>
      <c r="B64" s="158"/>
      <c r="C64" s="158"/>
      <c r="D64" s="158"/>
      <c r="E64" s="161"/>
      <c r="F64" s="166"/>
      <c r="G64" s="166"/>
      <c r="H64" s="166"/>
      <c r="I64" s="166"/>
      <c r="J64" s="166"/>
      <c r="K64" s="166"/>
      <c r="L64" s="166"/>
    </row>
    <row r="65" customFormat="false" ht="15" hidden="false" customHeight="false" outlineLevel="0" collapsed="false">
      <c r="A65" s="158"/>
      <c r="B65" s="158"/>
      <c r="C65" s="158"/>
      <c r="D65" s="158"/>
      <c r="E65" s="161"/>
      <c r="F65" s="166"/>
      <c r="G65" s="166"/>
      <c r="H65" s="166"/>
      <c r="I65" s="166"/>
      <c r="J65" s="166"/>
      <c r="K65" s="166"/>
      <c r="L65" s="166"/>
    </row>
    <row r="66" customFormat="false" ht="15" hidden="false" customHeight="false" outlineLevel="0" collapsed="false">
      <c r="A66" s="158"/>
      <c r="B66" s="158"/>
      <c r="C66" s="158"/>
      <c r="D66" s="158"/>
      <c r="E66" s="161"/>
      <c r="F66" s="166"/>
      <c r="G66" s="166"/>
      <c r="H66" s="166"/>
      <c r="I66" s="166"/>
      <c r="J66" s="166"/>
      <c r="K66" s="166"/>
      <c r="L66" s="166"/>
    </row>
    <row r="67" customFormat="false" ht="15" hidden="false" customHeight="false" outlineLevel="0" collapsed="false">
      <c r="A67" s="158"/>
      <c r="B67" s="158"/>
      <c r="C67" s="158"/>
      <c r="D67" s="158"/>
      <c r="E67" s="161"/>
      <c r="F67" s="166"/>
      <c r="G67" s="166"/>
      <c r="H67" s="166"/>
      <c r="I67" s="166"/>
      <c r="J67" s="166"/>
      <c r="K67" s="166"/>
      <c r="L67" s="166"/>
    </row>
    <row r="68" customFormat="false" ht="15" hidden="false" customHeight="false" outlineLevel="0" collapsed="false">
      <c r="A68" s="158"/>
      <c r="B68" s="158"/>
      <c r="C68" s="158"/>
      <c r="D68" s="158"/>
      <c r="E68" s="161"/>
      <c r="F68" s="166"/>
      <c r="G68" s="166"/>
      <c r="H68" s="166"/>
      <c r="I68" s="166"/>
      <c r="J68" s="166"/>
      <c r="K68" s="166"/>
      <c r="L68" s="166"/>
    </row>
    <row r="69" customFormat="false" ht="15" hidden="false" customHeight="false" outlineLevel="0" collapsed="false">
      <c r="A69" s="158"/>
      <c r="B69" s="158"/>
      <c r="C69" s="158"/>
      <c r="D69" s="158"/>
      <c r="E69" s="161"/>
      <c r="F69" s="166"/>
      <c r="G69" s="166"/>
      <c r="H69" s="166"/>
      <c r="I69" s="166"/>
      <c r="J69" s="166"/>
      <c r="K69" s="166"/>
      <c r="L69" s="166"/>
    </row>
    <row r="70" customFormat="false" ht="15" hidden="false" customHeight="false" outlineLevel="0" collapsed="false">
      <c r="A70" s="158"/>
      <c r="B70" s="158"/>
      <c r="C70" s="158"/>
      <c r="D70" s="158"/>
      <c r="E70" s="161"/>
      <c r="F70" s="166"/>
      <c r="G70" s="166"/>
      <c r="H70" s="166"/>
      <c r="I70" s="166"/>
      <c r="J70" s="166"/>
      <c r="K70" s="166"/>
      <c r="L70" s="166"/>
    </row>
    <row r="71" customFormat="false" ht="15" hidden="false" customHeight="false" outlineLevel="0" collapsed="false">
      <c r="A71" s="158"/>
      <c r="B71" s="158"/>
      <c r="C71" s="158"/>
      <c r="D71" s="158"/>
      <c r="E71" s="161"/>
      <c r="F71" s="166"/>
      <c r="G71" s="166"/>
      <c r="H71" s="166"/>
      <c r="I71" s="166"/>
      <c r="J71" s="166"/>
      <c r="K71" s="166"/>
      <c r="L71" s="166"/>
    </row>
    <row r="72" customFormat="false" ht="15" hidden="false" customHeight="false" outlineLevel="0" collapsed="false">
      <c r="A72" s="158"/>
      <c r="B72" s="158"/>
      <c r="C72" s="158"/>
      <c r="D72" s="158"/>
      <c r="E72" s="161"/>
      <c r="F72" s="166"/>
      <c r="G72" s="166"/>
      <c r="H72" s="166"/>
      <c r="I72" s="166"/>
      <c r="J72" s="166"/>
      <c r="K72" s="166"/>
      <c r="L72" s="166"/>
    </row>
    <row r="73" customFormat="false" ht="15" hidden="false" customHeight="false" outlineLevel="0" collapsed="false">
      <c r="A73" s="158"/>
      <c r="B73" s="158"/>
      <c r="C73" s="158"/>
      <c r="D73" s="158"/>
      <c r="E73" s="161"/>
      <c r="F73" s="166"/>
      <c r="G73" s="166"/>
      <c r="H73" s="166"/>
      <c r="I73" s="166"/>
      <c r="J73" s="166"/>
      <c r="K73" s="166"/>
      <c r="L73" s="166"/>
    </row>
    <row r="74" customFormat="false" ht="15" hidden="false" customHeight="false" outlineLevel="0" collapsed="false">
      <c r="A74" s="158"/>
      <c r="B74" s="158"/>
      <c r="C74" s="158"/>
      <c r="D74" s="158"/>
      <c r="E74" s="161"/>
      <c r="F74" s="166"/>
      <c r="G74" s="166"/>
      <c r="H74" s="166"/>
      <c r="I74" s="166"/>
      <c r="J74" s="166"/>
      <c r="K74" s="166"/>
      <c r="L74" s="166"/>
    </row>
    <row r="75" customFormat="false" ht="15" hidden="false" customHeight="false" outlineLevel="0" collapsed="false">
      <c r="A75" s="158"/>
      <c r="B75" s="158"/>
      <c r="C75" s="158"/>
      <c r="D75" s="158"/>
      <c r="E75" s="161"/>
      <c r="F75" s="166"/>
      <c r="G75" s="166"/>
      <c r="H75" s="166"/>
      <c r="I75" s="166"/>
      <c r="J75" s="166"/>
      <c r="K75" s="166"/>
      <c r="L75" s="166"/>
    </row>
    <row r="76" customFormat="false" ht="15" hidden="false" customHeight="false" outlineLevel="0" collapsed="false">
      <c r="A76" s="158"/>
      <c r="B76" s="158"/>
      <c r="C76" s="158"/>
      <c r="D76" s="158"/>
      <c r="E76" s="161"/>
      <c r="F76" s="166"/>
      <c r="G76" s="166"/>
      <c r="H76" s="166"/>
      <c r="I76" s="166"/>
      <c r="J76" s="166"/>
      <c r="K76" s="166"/>
      <c r="L76" s="166"/>
    </row>
    <row r="77" customFormat="false" ht="15" hidden="false" customHeight="false" outlineLevel="0" collapsed="false">
      <c r="A77" s="158"/>
      <c r="B77" s="158"/>
      <c r="C77" s="158"/>
      <c r="D77" s="158"/>
      <c r="E77" s="161"/>
      <c r="F77" s="166"/>
      <c r="G77" s="166"/>
      <c r="H77" s="166"/>
      <c r="I77" s="166"/>
      <c r="J77" s="166"/>
      <c r="K77" s="166"/>
      <c r="L77" s="166"/>
    </row>
    <row r="78" customFormat="false" ht="15" hidden="false" customHeight="false" outlineLevel="0" collapsed="false">
      <c r="A78" s="158"/>
      <c r="B78" s="158"/>
      <c r="C78" s="158"/>
      <c r="D78" s="158"/>
      <c r="E78" s="161"/>
      <c r="F78" s="166"/>
      <c r="G78" s="166"/>
      <c r="H78" s="166"/>
      <c r="I78" s="166"/>
      <c r="J78" s="166"/>
      <c r="K78" s="166"/>
      <c r="L78" s="166"/>
    </row>
    <row r="79" customFormat="false" ht="15" hidden="false" customHeight="false" outlineLevel="0" collapsed="false">
      <c r="A79" s="158"/>
      <c r="B79" s="158"/>
      <c r="C79" s="158"/>
      <c r="D79" s="158"/>
      <c r="E79" s="161"/>
      <c r="F79" s="166"/>
      <c r="G79" s="166"/>
      <c r="H79" s="166"/>
      <c r="I79" s="166"/>
      <c r="J79" s="166"/>
      <c r="K79" s="166"/>
      <c r="L79" s="166"/>
    </row>
    <row r="80" customFormat="false" ht="15" hidden="false" customHeight="false" outlineLevel="0" collapsed="false">
      <c r="A80" s="158"/>
      <c r="B80" s="158"/>
      <c r="C80" s="158"/>
      <c r="D80" s="158"/>
      <c r="E80" s="161"/>
      <c r="F80" s="166"/>
      <c r="G80" s="166"/>
      <c r="H80" s="166"/>
      <c r="I80" s="166"/>
      <c r="J80" s="166"/>
      <c r="K80" s="166"/>
      <c r="L80" s="166"/>
    </row>
    <row r="81" customFormat="false" ht="15" hidden="false" customHeight="false" outlineLevel="0" collapsed="false">
      <c r="A81" s="158"/>
      <c r="B81" s="158"/>
      <c r="C81" s="158"/>
      <c r="D81" s="158"/>
      <c r="E81" s="161"/>
      <c r="F81" s="166"/>
      <c r="G81" s="166"/>
      <c r="H81" s="166"/>
      <c r="I81" s="166"/>
      <c r="J81" s="166"/>
      <c r="K81" s="166"/>
      <c r="L81" s="166"/>
    </row>
    <row r="82" customFormat="false" ht="15" hidden="false" customHeight="false" outlineLevel="0" collapsed="false">
      <c r="A82" s="158"/>
      <c r="B82" s="158"/>
      <c r="C82" s="158"/>
      <c r="D82" s="158"/>
      <c r="E82" s="161"/>
      <c r="F82" s="166"/>
      <c r="G82" s="166"/>
      <c r="H82" s="166"/>
      <c r="I82" s="166"/>
      <c r="J82" s="166"/>
      <c r="K82" s="166"/>
      <c r="L82" s="166"/>
    </row>
    <row r="83" customFormat="false" ht="15" hidden="false" customHeight="false" outlineLevel="0" collapsed="false">
      <c r="A83" s="158"/>
      <c r="B83" s="158"/>
      <c r="C83" s="158"/>
      <c r="D83" s="158"/>
      <c r="E83" s="161"/>
      <c r="F83" s="166"/>
      <c r="G83" s="166"/>
      <c r="H83" s="166"/>
      <c r="I83" s="166"/>
      <c r="J83" s="166"/>
      <c r="K83" s="166"/>
      <c r="L83" s="166"/>
    </row>
    <row r="84" customFormat="false" ht="15" hidden="false" customHeight="false" outlineLevel="0" collapsed="false">
      <c r="A84" s="158"/>
      <c r="B84" s="158"/>
      <c r="C84" s="158"/>
      <c r="D84" s="158"/>
      <c r="E84" s="161"/>
      <c r="F84" s="166"/>
      <c r="G84" s="166"/>
      <c r="H84" s="166"/>
      <c r="I84" s="166"/>
      <c r="J84" s="166"/>
      <c r="K84" s="166"/>
      <c r="L84" s="166"/>
    </row>
  </sheetData>
  <hyperlinks>
    <hyperlink ref="A1" location="Start!A1" display="⌂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C101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>
    <row r="1" customFormat="false" ht="15" hidden="false" customHeight="false" outlineLevel="0" collapsed="false">
      <c r="A1" s="0" t="s">
        <v>239</v>
      </c>
      <c r="C1" s="0" t="s">
        <v>734</v>
      </c>
      <c r="E1" s="0" t="s">
        <v>735</v>
      </c>
      <c r="F1" s="0" t="s">
        <v>734</v>
      </c>
      <c r="H1" s="0" t="s">
        <v>735</v>
      </c>
      <c r="I1" s="0" t="s">
        <v>734</v>
      </c>
      <c r="K1" s="0" t="s">
        <v>735</v>
      </c>
      <c r="L1" s="0" t="s">
        <v>734</v>
      </c>
      <c r="N1" s="0" t="s">
        <v>735</v>
      </c>
      <c r="O1" s="0" t="s">
        <v>734</v>
      </c>
      <c r="Q1" s="0" t="s">
        <v>735</v>
      </c>
      <c r="R1" s="0" t="s">
        <v>734</v>
      </c>
      <c r="T1" s="0" t="s">
        <v>735</v>
      </c>
      <c r="U1" s="0" t="s">
        <v>734</v>
      </c>
      <c r="W1" s="0" t="s">
        <v>735</v>
      </c>
      <c r="X1" s="0" t="s">
        <v>734</v>
      </c>
      <c r="Z1" s="0" t="s">
        <v>735</v>
      </c>
      <c r="AA1" s="0" t="s">
        <v>734</v>
      </c>
      <c r="AC1" s="0" t="s">
        <v>735</v>
      </c>
      <c r="AD1" s="0" t="s">
        <v>734</v>
      </c>
      <c r="AF1" s="0" t="s">
        <v>735</v>
      </c>
      <c r="AG1" s="0" t="s">
        <v>734</v>
      </c>
      <c r="AI1" s="0" t="s">
        <v>735</v>
      </c>
      <c r="AJ1" s="0" t="s">
        <v>734</v>
      </c>
      <c r="AL1" s="0" t="s">
        <v>735</v>
      </c>
      <c r="AM1" s="0" t="s">
        <v>734</v>
      </c>
      <c r="AO1" s="0" t="s">
        <v>735</v>
      </c>
      <c r="AP1" s="0" t="s">
        <v>734</v>
      </c>
      <c r="AR1" s="0" t="s">
        <v>735</v>
      </c>
      <c r="AT1" s="0" t="s">
        <v>170</v>
      </c>
      <c r="AU1" s="0" t="s">
        <v>736</v>
      </c>
      <c r="AV1" s="0" t="s">
        <v>737</v>
      </c>
      <c r="AW1" s="0" t="s">
        <v>249</v>
      </c>
      <c r="AX1" s="0" t="s">
        <v>738</v>
      </c>
    </row>
    <row r="2" customFormat="false" ht="15" hidden="false" customHeight="false" outlineLevel="0" collapsed="false">
      <c r="A2" s="0" t="s">
        <v>739</v>
      </c>
      <c r="C2" s="0" t="s">
        <v>740</v>
      </c>
      <c r="D2" s="60" t="n">
        <f aca="false">IF(LEN(C2)=0,"",SUMPRODUCT(--(LEN(C$2:C2)&gt;0)))</f>
        <v>1</v>
      </c>
      <c r="E2" s="60" t="str">
        <f aca="false">IFERROR(INDEX(C$2:C$18,MATCH(ROW()-1,D$2:D$18,0)),"")</f>
        <v>Everyone</v>
      </c>
      <c r="F2" s="60" t="str">
        <f aca="false">IF(Setup!$B$18="","",Setup!$B$18)</f>
        <v/>
      </c>
      <c r="G2" s="60" t="str">
        <f aca="false">IF(LEN(F2)=0,"",SUMPRODUCT(--(LEN(F$2:F2)&gt;0)))</f>
        <v/>
      </c>
      <c r="H2" s="60" t="str">
        <f aca="false">IFERROR(INDEX(F$2:F$11,MATCH(ROW()-1,G$2:G$11,0)),"")</f>
        <v/>
      </c>
      <c r="I2" s="60" t="str">
        <f aca="false">IF(Setup!$G$18="","",Setup!$G$18)</f>
        <v/>
      </c>
      <c r="J2" s="60" t="str">
        <f aca="false">IF(LEN(I2)=0,"",SUMPRODUCT(--(LEN(I$2:I2)&gt;0)))</f>
        <v/>
      </c>
      <c r="K2" s="60" t="str">
        <f aca="false">IFERROR(INDEX(I$2:I$6,MATCH(ROW()-1,J$2:J$6,0)),"")</f>
        <v/>
      </c>
      <c r="L2" s="60" t="str">
        <f aca="false">IF(Setup!$G$26="","",Setup!$G$26)</f>
        <v>INR</v>
      </c>
      <c r="M2" s="60" t="n">
        <f aca="false">IF(LEN(L2)=0,"",SUMPRODUCT(--(LEN(L$2:L2)&gt;0)))</f>
        <v>1</v>
      </c>
      <c r="N2" s="60" t="str">
        <f aca="false">IFERROR(INDEX(L$2:L$9,MATCH(ROW()-1,M$2:M$9,0)),"")</f>
        <v>INR</v>
      </c>
      <c r="O2" s="60" t="str">
        <f aca="false">IF(Contacts!$B$6="","",Contacts!$B$6)</f>
        <v/>
      </c>
      <c r="P2" s="60" t="str">
        <f aca="false">IF(LEN(O2)=0,"",SUMPRODUCT(--(LEN(O$2:O2)&gt;0)))</f>
        <v/>
      </c>
      <c r="Q2" s="60" t="str">
        <f aca="false">IFERROR(INDEX(O$2:O$41,MATCH(ROW()-1,P$2:P$41,0)),"")</f>
        <v/>
      </c>
      <c r="R2" s="60" t="str">
        <f aca="false">IF('Country Data'!$A$5="","",'Country Data'!$A$5)</f>
        <v>Thailand</v>
      </c>
      <c r="S2" s="60" t="n">
        <f aca="false">IF(LEN(R2)=0,"",SUMPRODUCT(--(LEN(R$2:R2)&gt;0)))</f>
        <v>1</v>
      </c>
      <c r="T2" s="60" t="str">
        <f aca="false">IFERROR(INDEX(R$2:R$81,MATCH(ROW()-1,S$2:S$81,0)),"")</f>
        <v>Thailand</v>
      </c>
      <c r="U2" s="60" t="str">
        <f aca="false">IF(Settings!$A$5="","",Settings!$A$5)</f>
        <v>Flights</v>
      </c>
      <c r="V2" s="60" t="n">
        <f aca="false">IF(LEN(U2)=0,"",SUMPRODUCT(--(LEN(U$2:U2)&gt;0)))</f>
        <v>1</v>
      </c>
      <c r="W2" s="60" t="str">
        <f aca="false">IFERROR(INDEX(U$2:U$26,MATCH(ROW()-1,V$2:V$26,0)),"")</f>
        <v>Flights</v>
      </c>
      <c r="X2" s="60" t="str">
        <f aca="false">IF(Settings!$D$5="","",Settings!$D$5)</f>
        <v>Card</v>
      </c>
      <c r="Y2" s="60" t="n">
        <f aca="false">IF(LEN(X2)=0,"",SUMPRODUCT(--(LEN(X$2:X2)&gt;0)))</f>
        <v>1</v>
      </c>
      <c r="Z2" s="60" t="str">
        <f aca="false">IFERROR(INDEX(X$2:X$16,MATCH(ROW()-1,Y$2:Y$16,0)),"")</f>
        <v>Card</v>
      </c>
      <c r="AA2" s="60" t="str">
        <f aca="false">IF(Settings!$F$5="","",Settings!$F$5)</f>
        <v>Flight</v>
      </c>
      <c r="AB2" s="60" t="n">
        <f aca="false">IF(LEN(AA2)=0,"",SUMPRODUCT(--(LEN(AA$2:AA2)&gt;0)))</f>
        <v>1</v>
      </c>
      <c r="AC2" s="60" t="str">
        <f aca="false">IFERROR(INDEX(AA$2:AA$21,MATCH(ROW()-1,AB$2:AB$21,0)),"")</f>
        <v>Flight</v>
      </c>
      <c r="AD2" s="60" t="str">
        <f aca="false">IF(Settings!$H$5="","",Settings!$H$5)</f>
        <v>Hotel / stay</v>
      </c>
      <c r="AE2" s="60" t="n">
        <f aca="false">IF(LEN(AD2)=0,"",SUMPRODUCT(--(LEN(AD$2:AD2)&gt;0)))</f>
        <v>1</v>
      </c>
      <c r="AF2" s="60" t="str">
        <f aca="false">IFERROR(INDEX(AD$2:AD$21,MATCH(ROW()-1,AE$2:AE$21,0)),"")</f>
        <v>Hotel / stay</v>
      </c>
      <c r="AG2" s="60" t="str">
        <f aca="false">IF(Settings!$J$5="","",Settings!$J$5)</f>
        <v>Backpacker</v>
      </c>
      <c r="AH2" s="60" t="n">
        <f aca="false">IF(LEN(AG2)=0,"",SUMPRODUCT(--(LEN(AG$2:AG2)&gt;0)))</f>
        <v>1</v>
      </c>
      <c r="AI2" s="60" t="str">
        <f aca="false">IFERROR(INDEX(AG$2:AG$7,MATCH(ROW()-1,AH$2:AH$7,0)),"")</f>
        <v>Backpacker</v>
      </c>
      <c r="AJ2" s="167" t="s">
        <v>211</v>
      </c>
      <c r="AK2" s="60" t="n">
        <f aca="false">IF(LEN(AJ2)=0,"",SUMPRODUCT(--(LEN(AJ$2:AJ2)&gt;0)))</f>
        <v>1</v>
      </c>
      <c r="AL2" s="60" t="str">
        <f aca="false">IFERROR(INDEX(AJ$2:AJ$12,MATCH(ROW()-1,AK$2:AK$12,0)),"")</f>
        <v>Whole trip</v>
      </c>
      <c r="AM2" s="60" t="str">
        <f aca="false">IF(Templates!$E$5="","",IF(OR(Templates!$F$5="x",IFERROR(INDEX(Templates!$G$5:$L$5,MATCH(TripType,Templates!$G$4:$L$4,0))="x",FALSE())),Templates!$E$5,""))</f>
        <v>Passports + visa printouts</v>
      </c>
      <c r="AN2" s="60" t="n">
        <f aca="false">IF(LEN(AM2)=0,"",SUMPRODUCT(--(LEN(AM$2:AM2)&gt;0)))</f>
        <v>1</v>
      </c>
      <c r="AO2" s="60" t="str">
        <f aca="false">IFERROR(INDEX(AM$2:AM$81,MATCH(ROW()-1,AN$2:AN$81,0)),"")</f>
        <v>Passports + visa printouts</v>
      </c>
      <c r="AP2" s="60" t="str">
        <f aca="false">IF(Settings!$N$5="","",Settings!$N$5)</f>
        <v>India</v>
      </c>
      <c r="AQ2" s="60" t="n">
        <f aca="false">IF(LEN(AP2)=0,"",SUMPRODUCT(--(LEN(AP$2:AP2)&gt;0)))</f>
        <v>1</v>
      </c>
      <c r="AR2" s="60" t="str">
        <f aca="false">IFERROR(INDEX(AP$2:AP$7,MATCH(ROW()-1,AQ$2:AQ$7,0)),"")</f>
        <v>India</v>
      </c>
      <c r="AT2" s="167" t="s">
        <v>741</v>
      </c>
      <c r="AU2" s="167" t="s">
        <v>742</v>
      </c>
      <c r="AV2" s="167" t="s">
        <v>341</v>
      </c>
      <c r="AW2" s="167" t="s">
        <v>743</v>
      </c>
      <c r="AX2" s="167" t="s">
        <v>92</v>
      </c>
      <c r="BA2" s="60" t="str">
        <f aca="false">IF($CC$9="Groups",IF(1&lt;=5,'Split &amp; Settle'!$B$21,""),'Split &amp; Settle'!$B$7)&amp;""</f>
        <v/>
      </c>
      <c r="BB2" s="60" t="n">
        <f aca="false">IF(BA2="",0,N(IF($CC$9="Groups",'Split &amp; Settle'!$G$21,'Split &amp; Settle'!$G$7)))</f>
        <v>0</v>
      </c>
      <c r="BC2" s="60" t="n">
        <f aca="false">MAX(0,-BB2)</f>
        <v>-0</v>
      </c>
      <c r="BD2" s="60" t="n">
        <f aca="false">MAX(0,BB2)</f>
        <v>0</v>
      </c>
      <c r="BE2" s="60" t="n">
        <f aca="false">SUM($BC$2:BC2)</f>
        <v>0</v>
      </c>
      <c r="BF2" s="60" t="n">
        <f aca="false">SUM($BD$2:BD2)</f>
        <v>0</v>
      </c>
      <c r="BH2" s="60" t="n">
        <f aca="false">ROUND(MAX(0,MIN(BE2,BF2)-MAX(BE2-BC2,BF2-BD2)),0)</f>
        <v>0</v>
      </c>
      <c r="BI2" s="60" t="str">
        <f aca="false">IF(BH2&gt;=1,BA2&amp;" pays "&amp;BA2,"")</f>
        <v/>
      </c>
      <c r="BJ2" s="60" t="str">
        <f aca="false">IF(BI2="","",COUNTIF($BH$2:BH2,"&gt;=1"))</f>
        <v/>
      </c>
      <c r="BK2" s="60" t="str">
        <f aca="false">IFERROR(INDEX($BI$2:$BI$101,MATCH(1,$BJ$2:$BJ$101,0)),"")</f>
        <v/>
      </c>
      <c r="BL2" s="60" t="str">
        <f aca="false">IFERROR(INDEX($BH$2:$BH$101,MATCH(1,$BJ$2:$BJ$101,0)),"")</f>
        <v/>
      </c>
      <c r="BN2" s="60" t="str">
        <f aca="false">Setup!$G$6&amp;""</f>
        <v/>
      </c>
      <c r="BO2" s="60" t="n">
        <f aca="false">IF(BN2="",0,N(Setup!$I$6))</f>
        <v>0</v>
      </c>
      <c r="BP2" s="60" t="str">
        <f aca="false">IF(BN2="","",IFERROR(MATCH(BN2,'Country Data'!$A$5:$A$84,0),""))</f>
        <v/>
      </c>
      <c r="BQ2" s="60" t="n">
        <f aca="false">IF(BP2="",0,IF($CC$6="UAE",INDEX('Country Data'!$J$5:$J$84,BP2),INDEX('Country Data'!$I$5:$I$84,BP2))*$CC$3*$CC$5*1)</f>
        <v>0</v>
      </c>
      <c r="BR2" s="60" t="n">
        <f aca="false">IF(BP2="",0,INDEX('Country Data'!$K$5:$K$84,BP2)*BO2*$CC$7*$CC$3*$CC$4)</f>
        <v>0</v>
      </c>
      <c r="BS2" s="60" t="n">
        <f aca="false">IF(BP2="",0,INDEX('Country Data'!$L$5:$L$84,BP2)*BO2*$CC$3*$CC$4)</f>
        <v>0</v>
      </c>
      <c r="BT2" s="60" t="n">
        <f aca="false">IF(BP2="",0,INDEX('Country Data'!$M$5:$M$84,BP2)*BO2*$CC$3*$CC$4*IF(TripType="Road trip",0.4,1))</f>
        <v>0</v>
      </c>
      <c r="BU2" s="60" t="n">
        <f aca="false">IF(BP2="",0,INDEX('Country Data'!$N$5:$N$84,BP2)*BO2*$CC$3*$CC$4)</f>
        <v>0</v>
      </c>
      <c r="BV2" s="60" t="n">
        <f aca="false">IF(BP2="",0,INDEX('Country Data'!$F$5:$F$84,BP2)*$CC$3)</f>
        <v>0</v>
      </c>
      <c r="BW2" s="60" t="n">
        <f aca="false">IF(BP2="",0,INDEX('Country Data'!$O$5:$O$84,BP2)*BO2*$CC$3)</f>
        <v>0</v>
      </c>
      <c r="BX2" s="60" t="n">
        <f aca="false">IF(BP2="",0,INDEX('Country Data'!$P$5:$P$84,BP2)*$CC$3*1)</f>
        <v>0</v>
      </c>
      <c r="BY2" s="60" t="n">
        <f aca="false">IF(BP2="",0,IF(TripType="Road trip",INDEX('Country Data'!$M$5:$M$84,BP2)*3*BO2*CEILING($CC$3/4,1)*$CC$4,0))</f>
        <v>0</v>
      </c>
      <c r="CA2" s="60" t="n">
        <f aca="false">ROUND((BQ6)/HomeINR,-1)</f>
        <v>0</v>
      </c>
      <c r="CB2" s="167" t="s">
        <v>744</v>
      </c>
      <c r="CC2" s="168" t="n">
        <f aca="false">IFERROR(INDEX(Settings!$S$5:$S$64,MATCH(HomeCcy,Settings!$R$5:$R$64,0)),1)</f>
        <v>1</v>
      </c>
    </row>
    <row r="3" customFormat="false" ht="15" hidden="false" customHeight="false" outlineLevel="0" collapsed="false">
      <c r="A3" s="60" t="str">
        <f aca="false">IF(OR(TripStart="",TripDays="",1&gt;TripDays),"","Day 1 · "&amp;TEXT(TripStart+0,"ddd dd mmm"))</f>
        <v/>
      </c>
      <c r="C3" s="60" t="str">
        <f aca="false">IF(Setup!$G$18="","",Setup!$G$18)</f>
        <v/>
      </c>
      <c r="D3" s="60" t="str">
        <f aca="false">IF(LEN(C3)=0,"",SUMPRODUCT(--(LEN(C$2:C3)&gt;0)))</f>
        <v/>
      </c>
      <c r="E3" s="60" t="str">
        <f aca="false">IFERROR(INDEX(C$2:C$18,MATCH(ROW()-1,D$2:D$18,0)),"")</f>
        <v>Custom</v>
      </c>
      <c r="F3" s="60" t="str">
        <f aca="false">IF(Setup!$B$19="","",Setup!$B$19)</f>
        <v/>
      </c>
      <c r="G3" s="60" t="str">
        <f aca="false">IF(LEN(F3)=0,"",SUMPRODUCT(--(LEN(F$2:F3)&gt;0)))</f>
        <v/>
      </c>
      <c r="H3" s="60" t="str">
        <f aca="false">IFERROR(INDEX(F$2:F$11,MATCH(ROW()-1,G$2:G$11,0)),"")</f>
        <v/>
      </c>
      <c r="I3" s="60" t="str">
        <f aca="false">IF(Setup!$G$19="","",Setup!$G$19)</f>
        <v/>
      </c>
      <c r="J3" s="60" t="str">
        <f aca="false">IF(LEN(I3)=0,"",SUMPRODUCT(--(LEN(I$2:I3)&gt;0)))</f>
        <v/>
      </c>
      <c r="K3" s="60" t="str">
        <f aca="false">IFERROR(INDEX(I$2:I$6,MATCH(ROW()-1,J$2:J$6,0)),"")</f>
        <v/>
      </c>
      <c r="L3" s="60" t="str">
        <f aca="false">IF(Setup!$G$27="","",Setup!$G$27)</f>
        <v/>
      </c>
      <c r="M3" s="60" t="str">
        <f aca="false">IF(LEN(L3)=0,"",SUMPRODUCT(--(LEN(L$2:L3)&gt;0)))</f>
        <v/>
      </c>
      <c r="N3" s="60" t="str">
        <f aca="false">IFERROR(INDEX(L$2:L$9,MATCH(ROW()-1,M$2:M$9,0)),"")</f>
        <v>USD</v>
      </c>
      <c r="O3" s="60" t="str">
        <f aca="false">IF(Contacts!$B$7="","",Contacts!$B$7)</f>
        <v/>
      </c>
      <c r="P3" s="60" t="str">
        <f aca="false">IF(LEN(O3)=0,"",SUMPRODUCT(--(LEN(O$2:O3)&gt;0)))</f>
        <v/>
      </c>
      <c r="Q3" s="60" t="str">
        <f aca="false">IFERROR(INDEX(O$2:O$41,MATCH(ROW()-1,P$2:P$41,0)),"")</f>
        <v/>
      </c>
      <c r="R3" s="60" t="str">
        <f aca="false">IF('Country Data'!$A$6="","",'Country Data'!$A$6)</f>
        <v>Indonesia</v>
      </c>
      <c r="S3" s="60" t="n">
        <f aca="false">IF(LEN(R3)=0,"",SUMPRODUCT(--(LEN(R$2:R3)&gt;0)))</f>
        <v>2</v>
      </c>
      <c r="T3" s="60" t="str">
        <f aca="false">IFERROR(INDEX(R$2:R$81,MATCH(ROW()-1,S$2:S$81,0)),"")</f>
        <v>Indonesia</v>
      </c>
      <c r="U3" s="60" t="str">
        <f aca="false">IF(Settings!$A$6="","",Settings!$A$6)</f>
        <v>Accommodation</v>
      </c>
      <c r="V3" s="60" t="n">
        <f aca="false">IF(LEN(U3)=0,"",SUMPRODUCT(--(LEN(U$2:U3)&gt;0)))</f>
        <v>2</v>
      </c>
      <c r="W3" s="60" t="str">
        <f aca="false">IFERROR(INDEX(U$2:U$26,MATCH(ROW()-1,V$2:V$26,0)),"")</f>
        <v>Accommodation</v>
      </c>
      <c r="X3" s="60" t="str">
        <f aca="false">IF(Settings!$D$6="","",Settings!$D$6)</f>
        <v>Forex card</v>
      </c>
      <c r="Y3" s="60" t="n">
        <f aca="false">IF(LEN(X3)=0,"",SUMPRODUCT(--(LEN(X$2:X3)&gt;0)))</f>
        <v>2</v>
      </c>
      <c r="Z3" s="60" t="str">
        <f aca="false">IFERROR(INDEX(X$2:X$16,MATCH(ROW()-1,Y$2:Y$16,0)),"")</f>
        <v>Forex card</v>
      </c>
      <c r="AA3" s="60" t="str">
        <f aca="false">IF(Settings!$F$6="","",Settings!$F$6)</f>
        <v>Transfer</v>
      </c>
      <c r="AB3" s="60" t="n">
        <f aca="false">IF(LEN(AA3)=0,"",SUMPRODUCT(--(LEN(AA$2:AA3)&gt;0)))</f>
        <v>2</v>
      </c>
      <c r="AC3" s="60" t="str">
        <f aca="false">IFERROR(INDEX(AA$2:AA$21,MATCH(ROW()-1,AB$2:AB$21,0)),"")</f>
        <v>Transfer</v>
      </c>
      <c r="AD3" s="60" t="str">
        <f aca="false">IF(Settings!$H$6="","",Settings!$H$6)</f>
        <v>Tour operator</v>
      </c>
      <c r="AE3" s="60" t="n">
        <f aca="false">IF(LEN(AD3)=0,"",SUMPRODUCT(--(LEN(AD$2:AD3)&gt;0)))</f>
        <v>2</v>
      </c>
      <c r="AF3" s="60" t="str">
        <f aca="false">IFERROR(INDEX(AD$2:AD$21,MATCH(ROW()-1,AE$2:AE$21,0)),"")</f>
        <v>Tour operator</v>
      </c>
      <c r="AG3" s="60" t="str">
        <f aca="false">IF(Settings!$J$6="","",Settings!$J$6)</f>
        <v>Budget</v>
      </c>
      <c r="AH3" s="60" t="n">
        <f aca="false">IF(LEN(AG3)=0,"",SUMPRODUCT(--(LEN(AG$2:AG3)&gt;0)))</f>
        <v>2</v>
      </c>
      <c r="AI3" s="60" t="str">
        <f aca="false">IFERROR(INDEX(AG$2:AG$7,MATCH(ROW()-1,AH$2:AH$7,0)),"")</f>
        <v>Budget</v>
      </c>
      <c r="AJ3" s="60" t="str">
        <f aca="false">IF(Setup!$B$18="","",Setup!$B$18)</f>
        <v/>
      </c>
      <c r="AK3" s="60" t="str">
        <f aca="false">IF(LEN(AJ3)=0,"",SUMPRODUCT(--(LEN(AJ$2:AJ3)&gt;0)))</f>
        <v/>
      </c>
      <c r="AL3" s="60" t="str">
        <f aca="false">IFERROR(INDEX(AJ$2:AJ$12,MATCH(ROW()-1,AK$2:AK$12,0)),"")</f>
        <v/>
      </c>
      <c r="AM3" s="60" t="str">
        <f aca="false">IF(Templates!$E$6="","",IF(OR(Templates!$F$6="x",IFERROR(INDEX(Templates!$G$6:$L$6,MATCH(TripType,Templates!$G$4:$L$4,0))="x",FALSE())),Templates!$E$6,""))</f>
        <v>Flight, hotel &amp; insurance copies</v>
      </c>
      <c r="AN3" s="60" t="n">
        <f aca="false">IF(LEN(AM3)=0,"",SUMPRODUCT(--(LEN(AM$2:AM3)&gt;0)))</f>
        <v>2</v>
      </c>
      <c r="AO3" s="60" t="str">
        <f aca="false">IFERROR(INDEX(AM$2:AM$81,MATCH(ROW()-1,AN$2:AN$81,0)),"")</f>
        <v>Flight, hotel &amp; insurance copies</v>
      </c>
      <c r="AP3" s="60" t="str">
        <f aca="false">IF(Settings!$N$6="","",Settings!$N$6)</f>
        <v>UAE</v>
      </c>
      <c r="AQ3" s="60" t="n">
        <f aca="false">IF(LEN(AP3)=0,"",SUMPRODUCT(--(LEN(AP$2:AP3)&gt;0)))</f>
        <v>2</v>
      </c>
      <c r="AR3" s="60" t="str">
        <f aca="false">IFERROR(INDEX(AP$2:AP$7,MATCH(ROW()-1,AQ$2:AQ$7,0)),"")</f>
        <v>UAE</v>
      </c>
      <c r="AT3" s="167" t="s">
        <v>745</v>
      </c>
      <c r="AU3" s="167" t="s">
        <v>746</v>
      </c>
      <c r="AV3" s="167" t="s">
        <v>333</v>
      </c>
      <c r="AW3" s="167" t="s">
        <v>747</v>
      </c>
      <c r="AX3" s="167" t="s">
        <v>748</v>
      </c>
      <c r="BA3" s="60" t="str">
        <f aca="false">IF($CC$9="Groups",IF(2&lt;=5,'Split &amp; Settle'!$B$22,""),'Split &amp; Settle'!$B$8)&amp;""</f>
        <v/>
      </c>
      <c r="BB3" s="60" t="n">
        <f aca="false">IF(BA3="",0,N(IF($CC$9="Groups",'Split &amp; Settle'!$G$22,'Split &amp; Settle'!$G$8)))</f>
        <v>0</v>
      </c>
      <c r="BC3" s="60" t="n">
        <f aca="false">MAX(0,-BB3)</f>
        <v>-0</v>
      </c>
      <c r="BD3" s="60" t="n">
        <f aca="false">MAX(0,BB3)</f>
        <v>0</v>
      </c>
      <c r="BE3" s="60" t="n">
        <f aca="false">SUM($BC$2:BC3)</f>
        <v>0</v>
      </c>
      <c r="BF3" s="60" t="n">
        <f aca="false">SUM($BD$2:BD3)</f>
        <v>0</v>
      </c>
      <c r="BH3" s="60" t="n">
        <f aca="false">ROUND(MAX(0,MIN(BE2,BF3)-MAX(BE2-BC2,BF3-BD3)),0)</f>
        <v>0</v>
      </c>
      <c r="BI3" s="60" t="str">
        <f aca="false">IF(BH3&gt;=1,BA2&amp;" pays "&amp;BA3,"")</f>
        <v/>
      </c>
      <c r="BJ3" s="60" t="str">
        <f aca="false">IF(BI3="","",COUNTIF($BH$2:BH3,"&gt;=1"))</f>
        <v/>
      </c>
      <c r="BK3" s="60" t="str">
        <f aca="false">IFERROR(INDEX($BI$2:$BI$101,MATCH(2,$BJ$2:$BJ$101,0)),"")</f>
        <v/>
      </c>
      <c r="BL3" s="60" t="str">
        <f aca="false">IFERROR(INDEX($BH$2:$BH$101,MATCH(2,$BJ$2:$BJ$101,0)),"")</f>
        <v/>
      </c>
      <c r="BN3" s="60" t="str">
        <f aca="false">Setup!$G$7&amp;""</f>
        <v/>
      </c>
      <c r="BO3" s="60" t="n">
        <f aca="false">IF(BN3="",0,N(Setup!$I$7))</f>
        <v>0</v>
      </c>
      <c r="BP3" s="60" t="str">
        <f aca="false">IF(BN3="","",IFERROR(MATCH(BN3,'Country Data'!$A$5:$A$84,0),""))</f>
        <v/>
      </c>
      <c r="BQ3" s="60" t="n">
        <f aca="false">IF(BP3="",0,IF($CC$6="UAE",INDEX('Country Data'!$J$5:$J$84,BP3),INDEX('Country Data'!$I$5:$I$84,BP3))*$CC$3*$CC$5*0.35)</f>
        <v>0</v>
      </c>
      <c r="BR3" s="60" t="n">
        <f aca="false">IF(BP3="",0,INDEX('Country Data'!$K$5:$K$84,BP3)*BO3*$CC$7*$CC$3*$CC$4)</f>
        <v>0</v>
      </c>
      <c r="BS3" s="60" t="n">
        <f aca="false">IF(BP3="",0,INDEX('Country Data'!$L$5:$L$84,BP3)*BO3*$CC$3*$CC$4)</f>
        <v>0</v>
      </c>
      <c r="BT3" s="60" t="n">
        <f aca="false">IF(BP3="",0,INDEX('Country Data'!$M$5:$M$84,BP3)*BO3*$CC$3*$CC$4*IF(TripType="Road trip",0.4,1))</f>
        <v>0</v>
      </c>
      <c r="BU3" s="60" t="n">
        <f aca="false">IF(BP3="",0,INDEX('Country Data'!$N$5:$N$84,BP3)*BO3*$CC$3*$CC$4)</f>
        <v>0</v>
      </c>
      <c r="BV3" s="60" t="n">
        <f aca="false">IF(BP3="",0,INDEX('Country Data'!$F$5:$F$84,BP3)*$CC$3)</f>
        <v>0</v>
      </c>
      <c r="BW3" s="60" t="n">
        <f aca="false">IF(BP3="",0,INDEX('Country Data'!$O$5:$O$84,BP3)*BO3*$CC$3)</f>
        <v>0</v>
      </c>
      <c r="BX3" s="60" t="n">
        <f aca="false">IF(BP3="",0,INDEX('Country Data'!$P$5:$P$84,BP3)*$CC$3*0)</f>
        <v>0</v>
      </c>
      <c r="BY3" s="60" t="n">
        <f aca="false">IF(BP3="",0,IF(TripType="Road trip",INDEX('Country Data'!$M$5:$M$84,BP3)*3*BO3*CEILING($CC$3/4,1)*$CC$4,0))</f>
        <v>0</v>
      </c>
      <c r="CA3" s="60" t="n">
        <f aca="false">ROUND((BR6)/HomeINR,-1)</f>
        <v>0</v>
      </c>
      <c r="CB3" s="167" t="s">
        <v>749</v>
      </c>
      <c r="CC3" s="60" t="n">
        <f aca="false">MAX(1,TravCount)</f>
        <v>1</v>
      </c>
    </row>
    <row r="4" customFormat="false" ht="15" hidden="false" customHeight="false" outlineLevel="0" collapsed="false">
      <c r="A4" s="60" t="str">
        <f aca="false">IF(OR(TripStart="",TripDays="",2&gt;TripDays),"","Day 2 · "&amp;TEXT(TripStart+1,"ddd dd mmm"))</f>
        <v/>
      </c>
      <c r="C4" s="60" t="str">
        <f aca="false">IF(Setup!$G$19="","",Setup!$G$19)</f>
        <v/>
      </c>
      <c r="D4" s="60" t="str">
        <f aca="false">IF(LEN(C4)=0,"",SUMPRODUCT(--(LEN(C$2:C4)&gt;0)))</f>
        <v/>
      </c>
      <c r="E4" s="60" t="str">
        <f aca="false">IFERROR(INDEX(C$2:C$18,MATCH(ROW()-1,D$2:D$18,0)),"")</f>
        <v/>
      </c>
      <c r="F4" s="60" t="str">
        <f aca="false">IF(Setup!$B$20="","",Setup!$B$20)</f>
        <v/>
      </c>
      <c r="G4" s="60" t="str">
        <f aca="false">IF(LEN(F4)=0,"",SUMPRODUCT(--(LEN(F$2:F4)&gt;0)))</f>
        <v/>
      </c>
      <c r="H4" s="60" t="str">
        <f aca="false">IFERROR(INDEX(F$2:F$11,MATCH(ROW()-1,G$2:G$11,0)),"")</f>
        <v/>
      </c>
      <c r="I4" s="60" t="str">
        <f aca="false">IF(Setup!$G$20="","",Setup!$G$20)</f>
        <v/>
      </c>
      <c r="J4" s="60" t="str">
        <f aca="false">IF(LEN(I4)=0,"",SUMPRODUCT(--(LEN(I$2:I4)&gt;0)))</f>
        <v/>
      </c>
      <c r="K4" s="60" t="str">
        <f aca="false">IFERROR(INDEX(I$2:I$6,MATCH(ROW()-1,J$2:J$6,0)),"")</f>
        <v/>
      </c>
      <c r="L4" s="60" t="str">
        <f aca="false">IF(Setup!$G$28="","",Setup!$G$28)</f>
        <v/>
      </c>
      <c r="M4" s="60" t="str">
        <f aca="false">IF(LEN(L4)=0,"",SUMPRODUCT(--(LEN(L$2:L4)&gt;0)))</f>
        <v/>
      </c>
      <c r="N4" s="60" t="str">
        <f aca="false">IFERROR(INDEX(L$2:L$9,MATCH(ROW()-1,M$2:M$9,0)),"")</f>
        <v>EUR</v>
      </c>
      <c r="O4" s="60" t="str">
        <f aca="false">IF(Contacts!$B$8="","",Contacts!$B$8)</f>
        <v/>
      </c>
      <c r="P4" s="60" t="str">
        <f aca="false">IF(LEN(O4)=0,"",SUMPRODUCT(--(LEN(O$2:O4)&gt;0)))</f>
        <v/>
      </c>
      <c r="Q4" s="60" t="str">
        <f aca="false">IFERROR(INDEX(O$2:O$41,MATCH(ROW()-1,P$2:P$41,0)),"")</f>
        <v/>
      </c>
      <c r="R4" s="60" t="str">
        <f aca="false">IF('Country Data'!$A$7="","",'Country Data'!$A$7)</f>
        <v>Vietnam</v>
      </c>
      <c r="S4" s="60" t="n">
        <f aca="false">IF(LEN(R4)=0,"",SUMPRODUCT(--(LEN(R$2:R4)&gt;0)))</f>
        <v>3</v>
      </c>
      <c r="T4" s="60" t="str">
        <f aca="false">IFERROR(INDEX(R$2:R$81,MATCH(ROW()-1,S$2:S$81,0)),"")</f>
        <v>Vietnam</v>
      </c>
      <c r="U4" s="60" t="str">
        <f aca="false">IF(Settings!$A$7="","",Settings!$A$7)</f>
        <v>Local transport</v>
      </c>
      <c r="V4" s="60" t="n">
        <f aca="false">IF(LEN(U4)=0,"",SUMPRODUCT(--(LEN(U$2:U4)&gt;0)))</f>
        <v>3</v>
      </c>
      <c r="W4" s="60" t="str">
        <f aca="false">IFERROR(INDEX(U$2:U$26,MATCH(ROW()-1,V$2:V$26,0)),"")</f>
        <v>Local transport</v>
      </c>
      <c r="X4" s="60" t="str">
        <f aca="false">IF(Settings!$D$7="","",Settings!$D$7)</f>
        <v>Cash</v>
      </c>
      <c r="Y4" s="60" t="n">
        <f aca="false">IF(LEN(X4)=0,"",SUMPRODUCT(--(LEN(X$2:X4)&gt;0)))</f>
        <v>3</v>
      </c>
      <c r="Z4" s="60" t="str">
        <f aca="false">IFERROR(INDEX(X$2:X$16,MATCH(ROW()-1,Y$2:Y$16,0)),"")</f>
        <v>Cash</v>
      </c>
      <c r="AA4" s="60" t="str">
        <f aca="false">IF(Settings!$F$7="","",Settings!$F$7)</f>
        <v>Check-in / out</v>
      </c>
      <c r="AB4" s="60" t="n">
        <f aca="false">IF(LEN(AA4)=0,"",SUMPRODUCT(--(LEN(AA$2:AA4)&gt;0)))</f>
        <v>3</v>
      </c>
      <c r="AC4" s="60" t="str">
        <f aca="false">IFERROR(INDEX(AA$2:AA$21,MATCH(ROW()-1,AB$2:AB$21,0)),"")</f>
        <v>Check-in / out</v>
      </c>
      <c r="AD4" s="60" t="str">
        <f aca="false">IF(Settings!$H$7="","",Settings!$H$7)</f>
        <v>Driver / transfer</v>
      </c>
      <c r="AE4" s="60" t="n">
        <f aca="false">IF(LEN(AD4)=0,"",SUMPRODUCT(--(LEN(AD$2:AD4)&gt;0)))</f>
        <v>3</v>
      </c>
      <c r="AF4" s="60" t="str">
        <f aca="false">IFERROR(INDEX(AD$2:AD$21,MATCH(ROW()-1,AE$2:AE$21,0)),"")</f>
        <v>Driver / transfer</v>
      </c>
      <c r="AG4" s="60" t="str">
        <f aca="false">IF(Settings!$J$7="","",Settings!$J$7)</f>
        <v>Mid-range</v>
      </c>
      <c r="AH4" s="60" t="n">
        <f aca="false">IF(LEN(AG4)=0,"",SUMPRODUCT(--(LEN(AG$2:AG4)&gt;0)))</f>
        <v>3</v>
      </c>
      <c r="AI4" s="60" t="str">
        <f aca="false">IFERROR(INDEX(AG$2:AG$7,MATCH(ROW()-1,AH$2:AH$7,0)),"")</f>
        <v>Mid-range</v>
      </c>
      <c r="AJ4" s="60" t="str">
        <f aca="false">IF(Setup!$B$19="","",Setup!$B$19)</f>
        <v/>
      </c>
      <c r="AK4" s="60" t="str">
        <f aca="false">IF(LEN(AJ4)=0,"",SUMPRODUCT(--(LEN(AJ$2:AJ4)&gt;0)))</f>
        <v/>
      </c>
      <c r="AL4" s="60" t="str">
        <f aca="false">IFERROR(INDEX(AJ$2:AJ$12,MATCH(ROW()-1,AK$2:AK$12,0)),"")</f>
        <v/>
      </c>
      <c r="AM4" s="60" t="str">
        <f aca="false">IF(Templates!$E$7="","",IF(OR(Templates!$F$7="x",IFERROR(INDEX(Templates!$G$7:$L$7,MATCH(TripType,Templates!$G$4:$L$4,0))="x",FALSE())),Templates!$E$7,""))</f>
        <v>Forex card + debit/credit cards</v>
      </c>
      <c r="AN4" s="60" t="n">
        <f aca="false">IF(LEN(AM4)=0,"",SUMPRODUCT(--(LEN(AM$2:AM4)&gt;0)))</f>
        <v>3</v>
      </c>
      <c r="AO4" s="60" t="str">
        <f aca="false">IFERROR(INDEX(AM$2:AM$81,MATCH(ROW()-1,AN$2:AN$81,0)),"")</f>
        <v>Forex card + debit/credit cards</v>
      </c>
      <c r="AP4" s="60" t="str">
        <f aca="false">IF(Settings!$N$7="","",Settings!$N$7)</f>
        <v>Other</v>
      </c>
      <c r="AQ4" s="60" t="n">
        <f aca="false">IF(LEN(AP4)=0,"",SUMPRODUCT(--(LEN(AP$2:AP4)&gt;0)))</f>
        <v>3</v>
      </c>
      <c r="AR4" s="60" t="str">
        <f aca="false">IFERROR(INDEX(AP$2:AP$7,MATCH(ROW()-1,AQ$2:AQ$7,0)),"")</f>
        <v>Other</v>
      </c>
      <c r="AT4" s="167" t="s">
        <v>222</v>
      </c>
      <c r="AW4" s="167" t="s">
        <v>750</v>
      </c>
      <c r="BA4" s="60" t="str">
        <f aca="false">IF($CC$9="Groups",IF(3&lt;=5,'Split &amp; Settle'!$B$23,""),'Split &amp; Settle'!$B$9)&amp;""</f>
        <v/>
      </c>
      <c r="BB4" s="60" t="n">
        <f aca="false">IF(BA4="",0,N(IF($CC$9="Groups",'Split &amp; Settle'!$G$23,'Split &amp; Settle'!$G$9)))</f>
        <v>0</v>
      </c>
      <c r="BC4" s="60" t="n">
        <f aca="false">MAX(0,-BB4)</f>
        <v>-0</v>
      </c>
      <c r="BD4" s="60" t="n">
        <f aca="false">MAX(0,BB4)</f>
        <v>0</v>
      </c>
      <c r="BE4" s="60" t="n">
        <f aca="false">SUM($BC$2:BC4)</f>
        <v>0</v>
      </c>
      <c r="BF4" s="60" t="n">
        <f aca="false">SUM($BD$2:BD4)</f>
        <v>0</v>
      </c>
      <c r="BH4" s="60" t="n">
        <f aca="false">ROUND(MAX(0,MIN(BE2,BF4)-MAX(BE2-BC2,BF4-BD4)),0)</f>
        <v>0</v>
      </c>
      <c r="BI4" s="60" t="str">
        <f aca="false">IF(BH4&gt;=1,BA2&amp;" pays "&amp;BA4,"")</f>
        <v/>
      </c>
      <c r="BJ4" s="60" t="str">
        <f aca="false">IF(BI4="","",COUNTIF($BH$2:BH4,"&gt;=1"))</f>
        <v/>
      </c>
      <c r="BK4" s="60" t="str">
        <f aca="false">IFERROR(INDEX($BI$2:$BI$101,MATCH(3,$BJ$2:$BJ$101,0)),"")</f>
        <v/>
      </c>
      <c r="BL4" s="60" t="str">
        <f aca="false">IFERROR(INDEX($BH$2:$BH$101,MATCH(3,$BJ$2:$BJ$101,0)),"")</f>
        <v/>
      </c>
      <c r="BN4" s="60" t="str">
        <f aca="false">Setup!$G$8&amp;""</f>
        <v/>
      </c>
      <c r="BO4" s="60" t="n">
        <f aca="false">IF(BN4="",0,N(Setup!$I$8))</f>
        <v>0</v>
      </c>
      <c r="BP4" s="60" t="str">
        <f aca="false">IF(BN4="","",IFERROR(MATCH(BN4,'Country Data'!$A$5:$A$84,0),""))</f>
        <v/>
      </c>
      <c r="BQ4" s="60" t="n">
        <f aca="false">IF(BP4="",0,IF($CC$6="UAE",INDEX('Country Data'!$J$5:$J$84,BP4),INDEX('Country Data'!$I$5:$I$84,BP4))*$CC$3*$CC$5*0.35)</f>
        <v>0</v>
      </c>
      <c r="BR4" s="60" t="n">
        <f aca="false">IF(BP4="",0,INDEX('Country Data'!$K$5:$K$84,BP4)*BO4*$CC$7*$CC$3*$CC$4)</f>
        <v>0</v>
      </c>
      <c r="BS4" s="60" t="n">
        <f aca="false">IF(BP4="",0,INDEX('Country Data'!$L$5:$L$84,BP4)*BO4*$CC$3*$CC$4)</f>
        <v>0</v>
      </c>
      <c r="BT4" s="60" t="n">
        <f aca="false">IF(BP4="",0,INDEX('Country Data'!$M$5:$M$84,BP4)*BO4*$CC$3*$CC$4*IF(TripType="Road trip",0.4,1))</f>
        <v>0</v>
      </c>
      <c r="BU4" s="60" t="n">
        <f aca="false">IF(BP4="",0,INDEX('Country Data'!$N$5:$N$84,BP4)*BO4*$CC$3*$CC$4)</f>
        <v>0</v>
      </c>
      <c r="BV4" s="60" t="n">
        <f aca="false">IF(BP4="",0,INDEX('Country Data'!$F$5:$F$84,BP4)*$CC$3)</f>
        <v>0</v>
      </c>
      <c r="BW4" s="60" t="n">
        <f aca="false">IF(BP4="",0,INDEX('Country Data'!$O$5:$O$84,BP4)*BO4*$CC$3)</f>
        <v>0</v>
      </c>
      <c r="BX4" s="60" t="n">
        <f aca="false">IF(BP4="",0,INDEX('Country Data'!$P$5:$P$84,BP4)*$CC$3*0)</f>
        <v>0</v>
      </c>
      <c r="BY4" s="60" t="n">
        <f aca="false">IF(BP4="",0,IF(TripType="Road trip",INDEX('Country Data'!$M$5:$M$84,BP4)*3*BO4*CEILING($CC$3/4,1)*$CC$4,0))</f>
        <v>0</v>
      </c>
      <c r="CA4" s="60" t="n">
        <f aca="false">ROUND((BT6)/HomeINR,-1)</f>
        <v>0</v>
      </c>
      <c r="CB4" s="167" t="s">
        <v>751</v>
      </c>
      <c r="CC4" s="60" t="n">
        <f aca="false">IFERROR(INDEX(Settings!$K$5:$K$10,MATCH(TripStyle,Settings!$J$5:$J$10,0)),1)</f>
        <v>1</v>
      </c>
    </row>
    <row r="5" customFormat="false" ht="15" hidden="false" customHeight="false" outlineLevel="0" collapsed="false">
      <c r="A5" s="60" t="str">
        <f aca="false">IF(OR(TripStart="",TripDays="",3&gt;TripDays),"","Day 3 · "&amp;TEXT(TripStart+2,"ddd dd mmm"))</f>
        <v/>
      </c>
      <c r="C5" s="60" t="str">
        <f aca="false">IF(Setup!$G$20="","",Setup!$G$20)</f>
        <v/>
      </c>
      <c r="D5" s="60" t="str">
        <f aca="false">IF(LEN(C5)=0,"",SUMPRODUCT(--(LEN(C$2:C5)&gt;0)))</f>
        <v/>
      </c>
      <c r="E5" s="60" t="str">
        <f aca="false">IFERROR(INDEX(C$2:C$18,MATCH(ROW()-1,D$2:D$18,0)),"")</f>
        <v/>
      </c>
      <c r="F5" s="60" t="str">
        <f aca="false">IF(Setup!$B$21="","",Setup!$B$21)</f>
        <v/>
      </c>
      <c r="G5" s="60" t="str">
        <f aca="false">IF(LEN(F5)=0,"",SUMPRODUCT(--(LEN(F$2:F5)&gt;0)))</f>
        <v/>
      </c>
      <c r="H5" s="60" t="str">
        <f aca="false">IFERROR(INDEX(F$2:F$11,MATCH(ROW()-1,G$2:G$11,0)),"")</f>
        <v/>
      </c>
      <c r="I5" s="60" t="str">
        <f aca="false">IF(Setup!$G$21="","",Setup!$G$21)</f>
        <v/>
      </c>
      <c r="J5" s="60" t="str">
        <f aca="false">IF(LEN(I5)=0,"",SUMPRODUCT(--(LEN(I$2:I5)&gt;0)))</f>
        <v/>
      </c>
      <c r="K5" s="60" t="str">
        <f aca="false">IFERROR(INDEX(I$2:I$6,MATCH(ROW()-1,J$2:J$6,0)),"")</f>
        <v/>
      </c>
      <c r="L5" s="60" t="str">
        <f aca="false">IF(Setup!$G$29="","",Setup!$G$29)</f>
        <v/>
      </c>
      <c r="M5" s="60" t="str">
        <f aca="false">IF(LEN(L5)=0,"",SUMPRODUCT(--(LEN(L$2:L5)&gt;0)))</f>
        <v/>
      </c>
      <c r="N5" s="60" t="str">
        <f aca="false">IFERROR(INDEX(L$2:L$9,MATCH(ROW()-1,M$2:M$9,0)),"")</f>
        <v/>
      </c>
      <c r="O5" s="60" t="str">
        <f aca="false">IF(Contacts!$B$9="","",Contacts!$B$9)</f>
        <v/>
      </c>
      <c r="P5" s="60" t="str">
        <f aca="false">IF(LEN(O5)=0,"",SUMPRODUCT(--(LEN(O$2:O5)&gt;0)))</f>
        <v/>
      </c>
      <c r="Q5" s="60" t="str">
        <f aca="false">IFERROR(INDEX(O$2:O$41,MATCH(ROW()-1,P$2:P$41,0)),"")</f>
        <v/>
      </c>
      <c r="R5" s="60" t="str">
        <f aca="false">IF('Country Data'!$A$8="","",'Country Data'!$A$8)</f>
        <v>Malaysia</v>
      </c>
      <c r="S5" s="60" t="n">
        <f aca="false">IF(LEN(R5)=0,"",SUMPRODUCT(--(LEN(R$2:R5)&gt;0)))</f>
        <v>4</v>
      </c>
      <c r="T5" s="60" t="str">
        <f aca="false">IFERROR(INDEX(R$2:R$81,MATCH(ROW()-1,S$2:S$81,0)),"")</f>
        <v>Malaysia</v>
      </c>
      <c r="U5" s="60" t="str">
        <f aca="false">IF(Settings!$A$8="","",Settings!$A$8)</f>
        <v>Car rental &amp; fuel</v>
      </c>
      <c r="V5" s="60" t="n">
        <f aca="false">IF(LEN(U5)=0,"",SUMPRODUCT(--(LEN(U$2:U5)&gt;0)))</f>
        <v>4</v>
      </c>
      <c r="W5" s="60" t="str">
        <f aca="false">IFERROR(INDEX(U$2:U$26,MATCH(ROW()-1,V$2:V$26,0)),"")</f>
        <v>Car rental &amp; fuel</v>
      </c>
      <c r="X5" s="60" t="str">
        <f aca="false">IF(Settings!$D$8="","",Settings!$D$8)</f>
        <v>UPI</v>
      </c>
      <c r="Y5" s="60" t="n">
        <f aca="false">IF(LEN(X5)=0,"",SUMPRODUCT(--(LEN(X$2:X5)&gt;0)))</f>
        <v>4</v>
      </c>
      <c r="Z5" s="60" t="str">
        <f aca="false">IFERROR(INDEX(X$2:X$16,MATCH(ROW()-1,Y$2:Y$16,0)),"")</f>
        <v>UPI</v>
      </c>
      <c r="AA5" s="60" t="str">
        <f aca="false">IF(Settings!$F$8="","",Settings!$F$8)</f>
        <v>Activity</v>
      </c>
      <c r="AB5" s="60" t="n">
        <f aca="false">IF(LEN(AA5)=0,"",SUMPRODUCT(--(LEN(AA$2:AA5)&gt;0)))</f>
        <v>4</v>
      </c>
      <c r="AC5" s="60" t="str">
        <f aca="false">IFERROR(INDEX(AA$2:AA$21,MATCH(ROW()-1,AB$2:AB$21,0)),"")</f>
        <v>Activity</v>
      </c>
      <c r="AD5" s="60" t="str">
        <f aca="false">IF(Settings!$H$8="","",Settings!$H$8)</f>
        <v>Airline</v>
      </c>
      <c r="AE5" s="60" t="n">
        <f aca="false">IF(LEN(AD5)=0,"",SUMPRODUCT(--(LEN(AD$2:AD5)&gt;0)))</f>
        <v>4</v>
      </c>
      <c r="AF5" s="60" t="str">
        <f aca="false">IFERROR(INDEX(AD$2:AD$21,MATCH(ROW()-1,AE$2:AE$21,0)),"")</f>
        <v>Airline</v>
      </c>
      <c r="AG5" s="60" t="str">
        <f aca="false">IF(Settings!$J$8="","",Settings!$J$8)</f>
        <v>Comfort</v>
      </c>
      <c r="AH5" s="60" t="n">
        <f aca="false">IF(LEN(AG5)=0,"",SUMPRODUCT(--(LEN(AG$2:AG5)&gt;0)))</f>
        <v>4</v>
      </c>
      <c r="AI5" s="60" t="str">
        <f aca="false">IFERROR(INDEX(AG$2:AG$7,MATCH(ROW()-1,AH$2:AH$7,0)),"")</f>
        <v>Comfort</v>
      </c>
      <c r="AJ5" s="60" t="str">
        <f aca="false">IF(Setup!$B$20="","",Setup!$B$20)</f>
        <v/>
      </c>
      <c r="AK5" s="60" t="str">
        <f aca="false">IF(LEN(AJ5)=0,"",SUMPRODUCT(--(LEN(AJ$2:AJ5)&gt;0)))</f>
        <v/>
      </c>
      <c r="AL5" s="60" t="str">
        <f aca="false">IFERROR(INDEX(AJ$2:AJ$12,MATCH(ROW()-1,AK$2:AK$12,0)),"")</f>
        <v/>
      </c>
      <c r="AM5" s="60" t="str">
        <f aca="false">IF(Templates!$E$8="","",IF(OR(Templates!$F$8="x",IFERROR(INDEX(Templates!$G$8:$L$8,MATCH(TripType,Templates!$G$4:$L$4,0))="x",FALSE())),Templates!$E$8,""))</f>
        <v>Some local cash</v>
      </c>
      <c r="AN5" s="60" t="n">
        <f aca="false">IF(LEN(AM5)=0,"",SUMPRODUCT(--(LEN(AM$2:AM5)&gt;0)))</f>
        <v>4</v>
      </c>
      <c r="AO5" s="60" t="str">
        <f aca="false">IFERROR(INDEX(AM$2:AM$81,MATCH(ROW()-1,AN$2:AN$81,0)),"")</f>
        <v>Some local cash</v>
      </c>
      <c r="AP5" s="60" t="str">
        <f aca="false">IF(Settings!$N$8="","",Settings!$N$8)</f>
        <v/>
      </c>
      <c r="AQ5" s="60" t="str">
        <f aca="false">IF(LEN(AP5)=0,"",SUMPRODUCT(--(LEN(AP$2:AP5)&gt;0)))</f>
        <v/>
      </c>
      <c r="AR5" s="60" t="str">
        <f aca="false">IFERROR(INDEX(AP$2:AP$7,MATCH(ROW()-1,AQ$2:AQ$7,0)),"")</f>
        <v/>
      </c>
      <c r="AT5" s="167" t="s">
        <v>752</v>
      </c>
      <c r="AW5" s="167" t="s">
        <v>753</v>
      </c>
      <c r="BA5" s="60" t="str">
        <f aca="false">IF($CC$9="Groups",IF(4&lt;=5,'Split &amp; Settle'!$B$24,""),'Split &amp; Settle'!$B$10)&amp;""</f>
        <v/>
      </c>
      <c r="BB5" s="60" t="n">
        <f aca="false">IF(BA5="",0,N(IF($CC$9="Groups",'Split &amp; Settle'!$G$24,'Split &amp; Settle'!$G$10)))</f>
        <v>0</v>
      </c>
      <c r="BC5" s="60" t="n">
        <f aca="false">MAX(0,-BB5)</f>
        <v>-0</v>
      </c>
      <c r="BD5" s="60" t="n">
        <f aca="false">MAX(0,BB5)</f>
        <v>0</v>
      </c>
      <c r="BE5" s="60" t="n">
        <f aca="false">SUM($BC$2:BC5)</f>
        <v>0</v>
      </c>
      <c r="BF5" s="60" t="n">
        <f aca="false">SUM($BD$2:BD5)</f>
        <v>0</v>
      </c>
      <c r="BH5" s="60" t="n">
        <f aca="false">ROUND(MAX(0,MIN(BE2,BF5)-MAX(BE2-BC2,BF5-BD5)),0)</f>
        <v>0</v>
      </c>
      <c r="BI5" s="60" t="str">
        <f aca="false">IF(BH5&gt;=1,BA2&amp;" pays "&amp;BA5,"")</f>
        <v/>
      </c>
      <c r="BJ5" s="60" t="str">
        <f aca="false">IF(BI5="","",COUNTIF($BH$2:BH5,"&gt;=1"))</f>
        <v/>
      </c>
      <c r="BK5" s="60" t="str">
        <f aca="false">IFERROR(INDEX($BI$2:$BI$101,MATCH(4,$BJ$2:$BJ$101,0)),"")</f>
        <v/>
      </c>
      <c r="BL5" s="60" t="str">
        <f aca="false">IFERROR(INDEX($BH$2:$BH$101,MATCH(4,$BJ$2:$BJ$101,0)),"")</f>
        <v/>
      </c>
      <c r="BN5" s="60" t="str">
        <f aca="false">Setup!$G$9&amp;""</f>
        <v/>
      </c>
      <c r="BO5" s="60" t="n">
        <f aca="false">IF(BN5="",0,N(Setup!$I$9))</f>
        <v>0</v>
      </c>
      <c r="BP5" s="60" t="str">
        <f aca="false">IF(BN5="","",IFERROR(MATCH(BN5,'Country Data'!$A$5:$A$84,0),""))</f>
        <v/>
      </c>
      <c r="BQ5" s="60" t="n">
        <f aca="false">IF(BP5="",0,IF($CC$6="UAE",INDEX('Country Data'!$J$5:$J$84,BP5),INDEX('Country Data'!$I$5:$I$84,BP5))*$CC$3*$CC$5*0.35)</f>
        <v>0</v>
      </c>
      <c r="BR5" s="60" t="n">
        <f aca="false">IF(BP5="",0,INDEX('Country Data'!$K$5:$K$84,BP5)*BO5*$CC$7*$CC$3*$CC$4)</f>
        <v>0</v>
      </c>
      <c r="BS5" s="60" t="n">
        <f aca="false">IF(BP5="",0,INDEX('Country Data'!$L$5:$L$84,BP5)*BO5*$CC$3*$CC$4)</f>
        <v>0</v>
      </c>
      <c r="BT5" s="60" t="n">
        <f aca="false">IF(BP5="",0,INDEX('Country Data'!$M$5:$M$84,BP5)*BO5*$CC$3*$CC$4*IF(TripType="Road trip",0.4,1))</f>
        <v>0</v>
      </c>
      <c r="BU5" s="60" t="n">
        <f aca="false">IF(BP5="",0,INDEX('Country Data'!$N$5:$N$84,BP5)*BO5*$CC$3*$CC$4)</f>
        <v>0</v>
      </c>
      <c r="BV5" s="60" t="n">
        <f aca="false">IF(BP5="",0,INDEX('Country Data'!$F$5:$F$84,BP5)*$CC$3)</f>
        <v>0</v>
      </c>
      <c r="BW5" s="60" t="n">
        <f aca="false">IF(BP5="",0,INDEX('Country Data'!$O$5:$O$84,BP5)*BO5*$CC$3)</f>
        <v>0</v>
      </c>
      <c r="BX5" s="60" t="n">
        <f aca="false">IF(BP5="",0,INDEX('Country Data'!$P$5:$P$84,BP5)*$CC$3*0)</f>
        <v>0</v>
      </c>
      <c r="BY5" s="60" t="n">
        <f aca="false">IF(BP5="",0,IF(TripType="Road trip",INDEX('Country Data'!$M$5:$M$84,BP5)*3*BO5*CEILING($CC$3/4,1)*$CC$4,0))</f>
        <v>0</v>
      </c>
      <c r="CA5" s="60" t="n">
        <f aca="false">ROUND((BY6)/HomeINR,-1)</f>
        <v>0</v>
      </c>
      <c r="CB5" s="167" t="s">
        <v>754</v>
      </c>
      <c r="CC5" s="60" t="n">
        <f aca="false">IFERROR(INDEX(Settings!$L$5:$L$10,MATCH(TripStyle,Settings!$J$5:$J$10,0)),1)</f>
        <v>1</v>
      </c>
    </row>
    <row r="6" customFormat="false" ht="15" hidden="false" customHeight="false" outlineLevel="0" collapsed="false">
      <c r="A6" s="60" t="str">
        <f aca="false">IF(OR(TripStart="",TripDays="",4&gt;TripDays),"","Day 4 · "&amp;TEXT(TripStart+3,"ddd dd mmm"))</f>
        <v/>
      </c>
      <c r="C6" s="60" t="str">
        <f aca="false">IF(Setup!$G$21="","",Setup!$G$21)</f>
        <v/>
      </c>
      <c r="D6" s="60" t="str">
        <f aca="false">IF(LEN(C6)=0,"",SUMPRODUCT(--(LEN(C$2:C6)&gt;0)))</f>
        <v/>
      </c>
      <c r="E6" s="60" t="str">
        <f aca="false">IFERROR(INDEX(C$2:C$18,MATCH(ROW()-1,D$2:D$18,0)),"")</f>
        <v/>
      </c>
      <c r="F6" s="60" t="str">
        <f aca="false">IF(Setup!$B$22="","",Setup!$B$22)</f>
        <v/>
      </c>
      <c r="G6" s="60" t="str">
        <f aca="false">IF(LEN(F6)=0,"",SUMPRODUCT(--(LEN(F$2:F6)&gt;0)))</f>
        <v/>
      </c>
      <c r="H6" s="60" t="str">
        <f aca="false">IFERROR(INDEX(F$2:F$11,MATCH(ROW()-1,G$2:G$11,0)),"")</f>
        <v/>
      </c>
      <c r="I6" s="60" t="str">
        <f aca="false">IF(Setup!$G$22="","",Setup!$G$22)</f>
        <v/>
      </c>
      <c r="J6" s="60" t="str">
        <f aca="false">IF(LEN(I6)=0,"",SUMPRODUCT(--(LEN(I$2:I6)&gt;0)))</f>
        <v/>
      </c>
      <c r="K6" s="60" t="str">
        <f aca="false">IFERROR(INDEX(I$2:I$6,MATCH(ROW()-1,J$2:J$6,0)),"")</f>
        <v/>
      </c>
      <c r="L6" s="60" t="str">
        <f aca="false">IF(Setup!$G$30="","",Setup!$G$30)</f>
        <v/>
      </c>
      <c r="M6" s="60" t="str">
        <f aca="false">IF(LEN(L6)=0,"",SUMPRODUCT(--(LEN(L$2:L6)&gt;0)))</f>
        <v/>
      </c>
      <c r="N6" s="60" t="str">
        <f aca="false">IFERROR(INDEX(L$2:L$9,MATCH(ROW()-1,M$2:M$9,0)),"")</f>
        <v/>
      </c>
      <c r="O6" s="60" t="str">
        <f aca="false">IF(Contacts!$B$10="","",Contacts!$B$10)</f>
        <v/>
      </c>
      <c r="P6" s="60" t="str">
        <f aca="false">IF(LEN(O6)=0,"",SUMPRODUCT(--(LEN(O$2:O6)&gt;0)))</f>
        <v/>
      </c>
      <c r="Q6" s="60" t="str">
        <f aca="false">IFERROR(INDEX(O$2:O$41,MATCH(ROW()-1,P$2:P$41,0)),"")</f>
        <v/>
      </c>
      <c r="R6" s="60" t="str">
        <f aca="false">IF('Country Data'!$A$9="","",'Country Data'!$A$9)</f>
        <v>Singapore</v>
      </c>
      <c r="S6" s="60" t="n">
        <f aca="false">IF(LEN(R6)=0,"",SUMPRODUCT(--(LEN(R$2:R6)&gt;0)))</f>
        <v>5</v>
      </c>
      <c r="T6" s="60" t="str">
        <f aca="false">IFERROR(INDEX(R$2:R$81,MATCH(ROW()-1,S$2:S$81,0)),"")</f>
        <v>Singapore</v>
      </c>
      <c r="U6" s="60" t="str">
        <f aca="false">IF(Settings!$A$9="","",Settings!$A$9)</f>
        <v>Trains &amp; buses</v>
      </c>
      <c r="V6" s="60" t="n">
        <f aca="false">IF(LEN(U6)=0,"",SUMPRODUCT(--(LEN(U$2:U6)&gt;0)))</f>
        <v>5</v>
      </c>
      <c r="W6" s="60" t="str">
        <f aca="false">IFERROR(INDEX(U$2:U$26,MATCH(ROW()-1,V$2:V$26,0)),"")</f>
        <v>Trains &amp; buses</v>
      </c>
      <c r="X6" s="60" t="str">
        <f aca="false">IF(Settings!$D$9="","",Settings!$D$9)</f>
        <v>Bank transfer</v>
      </c>
      <c r="Y6" s="60" t="n">
        <f aca="false">IF(LEN(X6)=0,"",SUMPRODUCT(--(LEN(X$2:X6)&gt;0)))</f>
        <v>5</v>
      </c>
      <c r="Z6" s="60" t="str">
        <f aca="false">IFERROR(INDEX(X$2:X$16,MATCH(ROW()-1,Y$2:Y$16,0)),"")</f>
        <v>Bank transfer</v>
      </c>
      <c r="AA6" s="60" t="str">
        <f aca="false">IF(Settings!$F$9="","",Settings!$F$9)</f>
        <v>Sightseeing</v>
      </c>
      <c r="AB6" s="60" t="n">
        <f aca="false">IF(LEN(AA6)=0,"",SUMPRODUCT(--(LEN(AA$2:AA6)&gt;0)))</f>
        <v>5</v>
      </c>
      <c r="AC6" s="60" t="str">
        <f aca="false">IFERROR(INDEX(AA$2:AA$21,MATCH(ROW()-1,AB$2:AB$21,0)),"")</f>
        <v>Sightseeing</v>
      </c>
      <c r="AD6" s="60" t="str">
        <f aca="false">IF(Settings!$H$9="","",Settings!$H$9)</f>
        <v>Car rental</v>
      </c>
      <c r="AE6" s="60" t="n">
        <f aca="false">IF(LEN(AD6)=0,"",SUMPRODUCT(--(LEN(AD$2:AD6)&gt;0)))</f>
        <v>5</v>
      </c>
      <c r="AF6" s="60" t="str">
        <f aca="false">IFERROR(INDEX(AD$2:AD$21,MATCH(ROW()-1,AE$2:AE$21,0)),"")</f>
        <v>Car rental</v>
      </c>
      <c r="AG6" s="60" t="str">
        <f aca="false">IF(Settings!$J$9="","",Settings!$J$9)</f>
        <v>Luxury</v>
      </c>
      <c r="AH6" s="60" t="n">
        <f aca="false">IF(LEN(AG6)=0,"",SUMPRODUCT(--(LEN(AG$2:AG6)&gt;0)))</f>
        <v>5</v>
      </c>
      <c r="AI6" s="60" t="str">
        <f aca="false">IFERROR(INDEX(AG$2:AG$7,MATCH(ROW()-1,AH$2:AH$7,0)),"")</f>
        <v>Luxury</v>
      </c>
      <c r="AJ6" s="60" t="str">
        <f aca="false">IF(Setup!$B$21="","",Setup!$B$21)</f>
        <v/>
      </c>
      <c r="AK6" s="60" t="str">
        <f aca="false">IF(LEN(AJ6)=0,"",SUMPRODUCT(--(LEN(AJ$2:AJ6)&gt;0)))</f>
        <v/>
      </c>
      <c r="AL6" s="60" t="str">
        <f aca="false">IFERROR(INDEX(AJ$2:AJ$12,MATCH(ROW()-1,AK$2:AK$12,0)),"")</f>
        <v/>
      </c>
      <c r="AM6" s="60" t="str">
        <f aca="false">IF(Templates!$E$9="","",IF(OR(Templates!$F$9="x",IFERROR(INDEX(Templates!$G$9:$L$9,MATCH(TripType,Templates!$G$4:$L$4,0))="x",FALSE())),Templates!$E$9,""))</f>
        <v>Phone + charger + power bank</v>
      </c>
      <c r="AN6" s="60" t="n">
        <f aca="false">IF(LEN(AM6)=0,"",SUMPRODUCT(--(LEN(AM$2:AM6)&gt;0)))</f>
        <v>5</v>
      </c>
      <c r="AO6" s="60" t="str">
        <f aca="false">IFERROR(INDEX(AM$2:AM$81,MATCH(ROW()-1,AN$2:AN$81,0)),"")</f>
        <v>Phone + charger + power bank</v>
      </c>
      <c r="AP6" s="60" t="str">
        <f aca="false">IF(Settings!$N$9="","",Settings!$N$9)</f>
        <v/>
      </c>
      <c r="AQ6" s="60" t="str">
        <f aca="false">IF(LEN(AP6)=0,"",SUMPRODUCT(--(LEN(AP$2:AP6)&gt;0)))</f>
        <v/>
      </c>
      <c r="AR6" s="60" t="str">
        <f aca="false">IFERROR(INDEX(AP$2:AP$7,MATCH(ROW()-1,AQ$2:AQ$7,0)),"")</f>
        <v/>
      </c>
      <c r="AW6" s="167" t="s">
        <v>755</v>
      </c>
      <c r="BA6" s="60" t="str">
        <f aca="false">IF($CC$9="Groups",IF(5&lt;=5,'Split &amp; Settle'!$B$25,""),'Split &amp; Settle'!$B$11)&amp;""</f>
        <v/>
      </c>
      <c r="BB6" s="60" t="n">
        <f aca="false">IF(BA6="",0,N(IF($CC$9="Groups",'Split &amp; Settle'!$G$25,'Split &amp; Settle'!$G$11)))</f>
        <v>0</v>
      </c>
      <c r="BC6" s="60" t="n">
        <f aca="false">MAX(0,-BB6)</f>
        <v>-0</v>
      </c>
      <c r="BD6" s="60" t="n">
        <f aca="false">MAX(0,BB6)</f>
        <v>0</v>
      </c>
      <c r="BE6" s="60" t="n">
        <f aca="false">SUM($BC$2:BC6)</f>
        <v>0</v>
      </c>
      <c r="BF6" s="60" t="n">
        <f aca="false">SUM($BD$2:BD6)</f>
        <v>0</v>
      </c>
      <c r="BH6" s="60" t="n">
        <f aca="false">ROUND(MAX(0,MIN(BE2,BF6)-MAX(BE2-BC2,BF6-BD6)),0)</f>
        <v>0</v>
      </c>
      <c r="BI6" s="60" t="str">
        <f aca="false">IF(BH6&gt;=1,BA2&amp;" pays "&amp;BA6,"")</f>
        <v/>
      </c>
      <c r="BJ6" s="60" t="str">
        <f aca="false">IF(BI6="","",COUNTIF($BH$2:BH6,"&gt;=1"))</f>
        <v/>
      </c>
      <c r="BK6" s="60" t="str">
        <f aca="false">IFERROR(INDEX($BI$2:$BI$101,MATCH(5,$BJ$2:$BJ$101,0)),"")</f>
        <v/>
      </c>
      <c r="BL6" s="60" t="str">
        <f aca="false">IFERROR(INDEX($BH$2:$BH$101,MATCH(5,$BJ$2:$BJ$101,0)),"")</f>
        <v/>
      </c>
      <c r="BQ6" s="60" t="n">
        <f aca="false">SUM(BQ2:BQ5)</f>
        <v>0</v>
      </c>
      <c r="BR6" s="60" t="n">
        <f aca="false">SUM(BR2:BR5)</f>
        <v>0</v>
      </c>
      <c r="BS6" s="60" t="n">
        <f aca="false">SUM(BS2:BS5)</f>
        <v>0</v>
      </c>
      <c r="BT6" s="60" t="n">
        <f aca="false">SUM(BT2:BT5)</f>
        <v>0</v>
      </c>
      <c r="BU6" s="60" t="n">
        <f aca="false">SUM(BU2:BU5)</f>
        <v>0</v>
      </c>
      <c r="BV6" s="60" t="n">
        <f aca="false">SUM(BV2:BV5)</f>
        <v>0</v>
      </c>
      <c r="BW6" s="60" t="n">
        <f aca="false">SUM(BW2:BW5)</f>
        <v>0</v>
      </c>
      <c r="BX6" s="60" t="n">
        <f aca="false">SUM(BX2:BX5)</f>
        <v>0</v>
      </c>
      <c r="BY6" s="60" t="n">
        <f aca="false">SUM(BY2:BY5)</f>
        <v>0</v>
      </c>
      <c r="CA6" s="60" t="n">
        <f aca="false">ROUND((IF($CC$8&gt;1,0.08*BQ6,0))/HomeINR,-1)</f>
        <v>0</v>
      </c>
      <c r="CB6" s="167" t="s">
        <v>756</v>
      </c>
      <c r="CC6" s="60" t="str">
        <f aca="false">IFERROR(INDEX(Settings!$P$5:$P$10,MATCH(TripOrigin,Settings!$N$5:$N$10,0)),"India")</f>
        <v>India</v>
      </c>
    </row>
    <row r="7" customFormat="false" ht="15" hidden="false" customHeight="false" outlineLevel="0" collapsed="false">
      <c r="A7" s="60" t="str">
        <f aca="false">IF(OR(TripStart="",TripDays="",5&gt;TripDays),"","Day 5 · "&amp;TEXT(TripStart+4,"ddd dd mmm"))</f>
        <v/>
      </c>
      <c r="C7" s="60" t="str">
        <f aca="false">IF(Setup!$G$22="","",Setup!$G$22)</f>
        <v/>
      </c>
      <c r="D7" s="60" t="str">
        <f aca="false">IF(LEN(C7)=0,"",SUMPRODUCT(--(LEN(C$2:C7)&gt;0)))</f>
        <v/>
      </c>
      <c r="E7" s="60" t="str">
        <f aca="false">IFERROR(INDEX(C$2:C$18,MATCH(ROW()-1,D$2:D$18,0)),"")</f>
        <v/>
      </c>
      <c r="F7" s="60" t="str">
        <f aca="false">IF(Setup!$B$23="","",Setup!$B$23)</f>
        <v/>
      </c>
      <c r="G7" s="60" t="str">
        <f aca="false">IF(LEN(F7)=0,"",SUMPRODUCT(--(LEN(F$2:F7)&gt;0)))</f>
        <v/>
      </c>
      <c r="H7" s="60" t="str">
        <f aca="false">IFERROR(INDEX(F$2:F$11,MATCH(ROW()-1,G$2:G$11,0)),"")</f>
        <v/>
      </c>
      <c r="L7" s="60" t="str">
        <f aca="false">IF(Setup!$G$31="","",Setup!$G$31)</f>
        <v>USD</v>
      </c>
      <c r="M7" s="60" t="n">
        <f aca="false">IF(LEN(L7)=0,"",SUMPRODUCT(--(LEN(L$2:L7)&gt;0)))</f>
        <v>2</v>
      </c>
      <c r="N7" s="60" t="str">
        <f aca="false">IFERROR(INDEX(L$2:L$9,MATCH(ROW()-1,M$2:M$9,0)),"")</f>
        <v/>
      </c>
      <c r="O7" s="60" t="str">
        <f aca="false">IF(Contacts!$B$11="","",Contacts!$B$11)</f>
        <v/>
      </c>
      <c r="P7" s="60" t="str">
        <f aca="false">IF(LEN(O7)=0,"",SUMPRODUCT(--(LEN(O$2:O7)&gt;0)))</f>
        <v/>
      </c>
      <c r="Q7" s="60" t="str">
        <f aca="false">IFERROR(INDEX(O$2:O$41,MATCH(ROW()-1,P$2:P$41,0)),"")</f>
        <v/>
      </c>
      <c r="R7" s="60" t="str">
        <f aca="false">IF('Country Data'!$A$10="","",'Country Data'!$A$10)</f>
        <v>Sri Lanka</v>
      </c>
      <c r="S7" s="60" t="n">
        <f aca="false">IF(LEN(R7)=0,"",SUMPRODUCT(--(LEN(R$2:R7)&gt;0)))</f>
        <v>6</v>
      </c>
      <c r="T7" s="60" t="str">
        <f aca="false">IFERROR(INDEX(R$2:R$81,MATCH(ROW()-1,S$2:S$81,0)),"")</f>
        <v>Sri Lanka</v>
      </c>
      <c r="U7" s="60" t="str">
        <f aca="false">IF(Settings!$A$10="","",Settings!$A$10)</f>
        <v>Tours &amp; activities</v>
      </c>
      <c r="V7" s="60" t="n">
        <f aca="false">IF(LEN(U7)=0,"",SUMPRODUCT(--(LEN(U$2:U7)&gt;0)))</f>
        <v>6</v>
      </c>
      <c r="W7" s="60" t="str">
        <f aca="false">IFERROR(INDEX(U$2:U$26,MATCH(ROW()-1,V$2:V$26,0)),"")</f>
        <v>Tours &amp; activities</v>
      </c>
      <c r="X7" s="60" t="str">
        <f aca="false">IF(Settings!$D$10="","",Settings!$D$10)</f>
        <v>Online / app</v>
      </c>
      <c r="Y7" s="60" t="n">
        <f aca="false">IF(LEN(X7)=0,"",SUMPRODUCT(--(LEN(X$2:X7)&gt;0)))</f>
        <v>6</v>
      </c>
      <c r="Z7" s="60" t="str">
        <f aca="false">IFERROR(INDEX(X$2:X$16,MATCH(ROW()-1,Y$2:Y$16,0)),"")</f>
        <v>Online / app</v>
      </c>
      <c r="AA7" s="60" t="str">
        <f aca="false">IF(Settings!$F$10="","",Settings!$F$10)</f>
        <v>Food</v>
      </c>
      <c r="AB7" s="60" t="n">
        <f aca="false">IF(LEN(AA7)=0,"",SUMPRODUCT(--(LEN(AA$2:AA7)&gt;0)))</f>
        <v>6</v>
      </c>
      <c r="AC7" s="60" t="str">
        <f aca="false">IFERROR(INDEX(AA$2:AA$21,MATCH(ROW()-1,AB$2:AB$21,0)),"")</f>
        <v>Food</v>
      </c>
      <c r="AD7" s="60" t="str">
        <f aca="false">IF(Settings!$H$10="","",Settings!$H$10)</f>
        <v>Restaurant</v>
      </c>
      <c r="AE7" s="60" t="n">
        <f aca="false">IF(LEN(AD7)=0,"",SUMPRODUCT(--(LEN(AD$2:AD7)&gt;0)))</f>
        <v>6</v>
      </c>
      <c r="AF7" s="60" t="str">
        <f aca="false">IFERROR(INDEX(AD$2:AD$21,MATCH(ROW()-1,AE$2:AE$21,0)),"")</f>
        <v>Restaurant</v>
      </c>
      <c r="AG7" s="60" t="str">
        <f aca="false">IF(Settings!$J$10="","",Settings!$J$10)</f>
        <v/>
      </c>
      <c r="AH7" s="60" t="str">
        <f aca="false">IF(LEN(AG7)=0,"",SUMPRODUCT(--(LEN(AG$2:AG7)&gt;0)))</f>
        <v/>
      </c>
      <c r="AI7" s="60" t="str">
        <f aca="false">IFERROR(INDEX(AG$2:AG$7,MATCH(ROW()-1,AH$2:AH$7,0)),"")</f>
        <v/>
      </c>
      <c r="AJ7" s="60" t="str">
        <f aca="false">IF(Setup!$B$22="","",Setup!$B$22)</f>
        <v/>
      </c>
      <c r="AK7" s="60" t="str">
        <f aca="false">IF(LEN(AJ7)=0,"",SUMPRODUCT(--(LEN(AJ$2:AJ7)&gt;0)))</f>
        <v/>
      </c>
      <c r="AL7" s="60" t="str">
        <f aca="false">IFERROR(INDEX(AJ$2:AJ$12,MATCH(ROW()-1,AK$2:AK$12,0)),"")</f>
        <v/>
      </c>
      <c r="AM7" s="60" t="str">
        <f aca="false">IF(Templates!$E$10="","",IF(OR(Templates!$F$10="x",IFERROR(INDEX(Templates!$G$10:$L$10,MATCH(TripType,Templates!$G$4:$L$4,0))="x",FALSE())),Templates!$E$10,""))</f>
        <v>Universal travel adapter</v>
      </c>
      <c r="AN7" s="60" t="n">
        <f aca="false">IF(LEN(AM7)=0,"",SUMPRODUCT(--(LEN(AM$2:AM7)&gt;0)))</f>
        <v>6</v>
      </c>
      <c r="AO7" s="60" t="str">
        <f aca="false">IFERROR(INDEX(AM$2:AM$81,MATCH(ROW()-1,AN$2:AN$81,0)),"")</f>
        <v>Universal travel adapter</v>
      </c>
      <c r="AP7" s="60" t="str">
        <f aca="false">IF(Settings!$N$10="","",Settings!$N$10)</f>
        <v/>
      </c>
      <c r="AQ7" s="60" t="str">
        <f aca="false">IF(LEN(AP7)=0,"",SUMPRODUCT(--(LEN(AP$2:AP7)&gt;0)))</f>
        <v/>
      </c>
      <c r="AR7" s="60" t="str">
        <f aca="false">IFERROR(INDEX(AP$2:AP$7,MATCH(ROW()-1,AQ$2:AQ$7,0)),"")</f>
        <v/>
      </c>
      <c r="BA7" s="60" t="str">
        <f aca="false">IF($CC$9="Groups",IF(6&lt;=5,"",""),'Split &amp; Settle'!$B$12)&amp;""</f>
        <v/>
      </c>
      <c r="BB7" s="60" t="n">
        <f aca="false">IF(BA7="",0,N(IF($CC$9="Groups",0,'Split &amp; Settle'!$G$12)))</f>
        <v>0</v>
      </c>
      <c r="BC7" s="60" t="n">
        <f aca="false">MAX(0,-BB7)</f>
        <v>-0</v>
      </c>
      <c r="BD7" s="60" t="n">
        <f aca="false">MAX(0,BB7)</f>
        <v>0</v>
      </c>
      <c r="BE7" s="60" t="n">
        <f aca="false">SUM($BC$2:BC7)</f>
        <v>0</v>
      </c>
      <c r="BF7" s="60" t="n">
        <f aca="false">SUM($BD$2:BD7)</f>
        <v>0</v>
      </c>
      <c r="BH7" s="60" t="n">
        <f aca="false">ROUND(MAX(0,MIN(BE2,BF7)-MAX(BE2-BC2,BF7-BD7)),0)</f>
        <v>0</v>
      </c>
      <c r="BI7" s="60" t="str">
        <f aca="false">IF(BH7&gt;=1,BA2&amp;" pays "&amp;BA7,"")</f>
        <v/>
      </c>
      <c r="BJ7" s="60" t="str">
        <f aca="false">IF(BI7="","",COUNTIF($BH$2:BH7,"&gt;=1"))</f>
        <v/>
      </c>
      <c r="BK7" s="60" t="str">
        <f aca="false">IFERROR(INDEX($BI$2:$BI$101,MATCH(6,$BJ$2:$BJ$101,0)),"")</f>
        <v/>
      </c>
      <c r="BL7" s="60" t="str">
        <f aca="false">IFERROR(INDEX($BH$2:$BH$101,MATCH(6,$BJ$2:$BJ$101,0)),"")</f>
        <v/>
      </c>
      <c r="CA7" s="60" t="n">
        <f aca="false">ROUND((0.75*BU6)/HomeINR,-1)</f>
        <v>0</v>
      </c>
      <c r="CB7" s="167" t="s">
        <v>757</v>
      </c>
      <c r="CC7" s="60" t="n">
        <f aca="false">IF(N(TripDays)&gt;1,(TripDays-1)/TripDays,1)</f>
        <v>1</v>
      </c>
    </row>
    <row r="8" customFormat="false" ht="15" hidden="false" customHeight="false" outlineLevel="0" collapsed="false">
      <c r="A8" s="60" t="str">
        <f aca="false">IF(OR(TripStart="",TripDays="",6&gt;TripDays),"","Day 6 · "&amp;TEXT(TripStart+5,"ddd dd mmm"))</f>
        <v/>
      </c>
      <c r="C8" s="60" t="str">
        <f aca="false">IF(Setup!$B$18="","",Setup!$B$18)</f>
        <v/>
      </c>
      <c r="D8" s="60" t="str">
        <f aca="false">IF(LEN(C8)=0,"",SUMPRODUCT(--(LEN(C$2:C8)&gt;0)))</f>
        <v/>
      </c>
      <c r="E8" s="60" t="str">
        <f aca="false">IFERROR(INDEX(C$2:C$18,MATCH(ROW()-1,D$2:D$18,0)),"")</f>
        <v/>
      </c>
      <c r="F8" s="60" t="str">
        <f aca="false">IF(Setup!$B$24="","",Setup!$B$24)</f>
        <v/>
      </c>
      <c r="G8" s="60" t="str">
        <f aca="false">IF(LEN(F8)=0,"",SUMPRODUCT(--(LEN(F$2:F8)&gt;0)))</f>
        <v/>
      </c>
      <c r="H8" s="60" t="str">
        <f aca="false">IFERROR(INDEX(F$2:F$11,MATCH(ROW()-1,G$2:G$11,0)),"")</f>
        <v/>
      </c>
      <c r="L8" s="60" t="str">
        <f aca="false">IF(Setup!$G$32="","",Setup!$G$32)</f>
        <v>EUR</v>
      </c>
      <c r="M8" s="60" t="n">
        <f aca="false">IF(LEN(L8)=0,"",SUMPRODUCT(--(LEN(L$2:L8)&gt;0)))</f>
        <v>3</v>
      </c>
      <c r="N8" s="60" t="str">
        <f aca="false">IFERROR(INDEX(L$2:L$9,MATCH(ROW()-1,M$2:M$9,0)),"")</f>
        <v/>
      </c>
      <c r="O8" s="60" t="str">
        <f aca="false">IF(Contacts!$B$12="","",Contacts!$B$12)</f>
        <v/>
      </c>
      <c r="P8" s="60" t="str">
        <f aca="false">IF(LEN(O8)=0,"",SUMPRODUCT(--(LEN(O$2:O8)&gt;0)))</f>
        <v/>
      </c>
      <c r="Q8" s="60" t="str">
        <f aca="false">IFERROR(INDEX(O$2:O$41,MATCH(ROW()-1,P$2:P$41,0)),"")</f>
        <v/>
      </c>
      <c r="R8" s="60" t="str">
        <f aca="false">IF('Country Data'!$A$11="","",'Country Data'!$A$11)</f>
        <v>Maldives</v>
      </c>
      <c r="S8" s="60" t="n">
        <f aca="false">IF(LEN(R8)=0,"",SUMPRODUCT(--(LEN(R$2:R8)&gt;0)))</f>
        <v>7</v>
      </c>
      <c r="T8" s="60" t="str">
        <f aca="false">IFERROR(INDEX(R$2:R$81,MATCH(ROW()-1,S$2:S$81,0)),"")</f>
        <v>Maldives</v>
      </c>
      <c r="U8" s="60" t="str">
        <f aca="false">IF(Settings!$A$11="","",Settings!$A$11)</f>
        <v>Attraction tickets</v>
      </c>
      <c r="V8" s="60" t="n">
        <f aca="false">IF(LEN(U8)=0,"",SUMPRODUCT(--(LEN(U$2:U8)&gt;0)))</f>
        <v>7</v>
      </c>
      <c r="W8" s="60" t="str">
        <f aca="false">IFERROR(INDEX(U$2:U$26,MATCH(ROW()-1,V$2:V$26,0)),"")</f>
        <v>Attraction tickets</v>
      </c>
      <c r="X8" s="60" t="str">
        <f aca="false">IF(Settings!$D$11="","",Settings!$D$11)</f>
        <v>Wallet</v>
      </c>
      <c r="Y8" s="60" t="n">
        <f aca="false">IF(LEN(X8)=0,"",SUMPRODUCT(--(LEN(X$2:X8)&gt;0)))</f>
        <v>7</v>
      </c>
      <c r="Z8" s="60" t="str">
        <f aca="false">IFERROR(INDEX(X$2:X$16,MATCH(ROW()-1,Y$2:Y$16,0)),"")</f>
        <v>Wallet</v>
      </c>
      <c r="AA8" s="60" t="str">
        <f aca="false">IF(Settings!$F$11="","",Settings!$F$11)</f>
        <v>Shopping</v>
      </c>
      <c r="AB8" s="60" t="n">
        <f aca="false">IF(LEN(AA8)=0,"",SUMPRODUCT(--(LEN(AA$2:AA8)&gt;0)))</f>
        <v>7</v>
      </c>
      <c r="AC8" s="60" t="str">
        <f aca="false">IFERROR(INDEX(AA$2:AA$21,MATCH(ROW()-1,AB$2:AB$21,0)),"")</f>
        <v>Shopping</v>
      </c>
      <c r="AD8" s="60" t="str">
        <f aca="false">IF(Settings!$H$11="","",Settings!$H$11)</f>
        <v>Guide</v>
      </c>
      <c r="AE8" s="60" t="n">
        <f aca="false">IF(LEN(AD8)=0,"",SUMPRODUCT(--(LEN(AD$2:AD8)&gt;0)))</f>
        <v>7</v>
      </c>
      <c r="AF8" s="60" t="str">
        <f aca="false">IFERROR(INDEX(AD$2:AD$21,MATCH(ROW()-1,AE$2:AE$21,0)),"")</f>
        <v>Guide</v>
      </c>
      <c r="AJ8" s="60" t="str">
        <f aca="false">IF(Setup!$B$23="","",Setup!$B$23)</f>
        <v/>
      </c>
      <c r="AK8" s="60" t="str">
        <f aca="false">IF(LEN(AJ8)=0,"",SUMPRODUCT(--(LEN(AJ$2:AJ8)&gt;0)))</f>
        <v/>
      </c>
      <c r="AL8" s="60" t="str">
        <f aca="false">IFERROR(INDEX(AJ$2:AJ$12,MATCH(ROW()-1,AK$2:AK$12,0)),"")</f>
        <v/>
      </c>
      <c r="AM8" s="60" t="str">
        <f aca="false">IF(Templates!$E$11="","",IF(OR(Templates!$F$11="x",IFERROR(INDEX(Templates!$G$11:$L$11,MATCH(TripType,Templates!$G$4:$L$4,0))="x",FALSE())),Templates!$E$11,""))</f>
        <v>Medicines + prescriptions</v>
      </c>
      <c r="AN8" s="60" t="n">
        <f aca="false">IF(LEN(AM8)=0,"",SUMPRODUCT(--(LEN(AM$2:AM8)&gt;0)))</f>
        <v>7</v>
      </c>
      <c r="AO8" s="60" t="str">
        <f aca="false">IFERROR(INDEX(AM$2:AM$81,MATCH(ROW()-1,AN$2:AN$81,0)),"")</f>
        <v>Medicines + prescriptions</v>
      </c>
      <c r="BA8" s="60" t="str">
        <f aca="false">IF($CC$9="Groups",IF(7&lt;=5,"",""),'Split &amp; Settle'!$B$13)&amp;""</f>
        <v/>
      </c>
      <c r="BB8" s="60" t="n">
        <f aca="false">IF(BA8="",0,N(IF($CC$9="Groups",0,'Split &amp; Settle'!$G$13)))</f>
        <v>0</v>
      </c>
      <c r="BC8" s="60" t="n">
        <f aca="false">MAX(0,-BB8)</f>
        <v>-0</v>
      </c>
      <c r="BD8" s="60" t="n">
        <f aca="false">MAX(0,BB8)</f>
        <v>0</v>
      </c>
      <c r="BE8" s="60" t="n">
        <f aca="false">SUM($BC$2:BC8)</f>
        <v>0</v>
      </c>
      <c r="BF8" s="60" t="n">
        <f aca="false">SUM($BD$2:BD8)</f>
        <v>0</v>
      </c>
      <c r="BH8" s="60" t="n">
        <f aca="false">ROUND(MAX(0,MIN(BE2,BF8)-MAX(BE2-BC2,BF8-BD8)),0)</f>
        <v>0</v>
      </c>
      <c r="BI8" s="60" t="str">
        <f aca="false">IF(BH8&gt;=1,BA2&amp;" pays "&amp;BA8,"")</f>
        <v/>
      </c>
      <c r="BJ8" s="60" t="str">
        <f aca="false">IF(BI8="","",COUNTIF($BH$2:BH8,"&gt;=1"))</f>
        <v/>
      </c>
      <c r="BK8" s="60" t="str">
        <f aca="false">IFERROR(INDEX($BI$2:$BI$101,MATCH(7,$BJ$2:$BJ$101,0)),"")</f>
        <v/>
      </c>
      <c r="BL8" s="60" t="str">
        <f aca="false">IFERROR(INDEX($BH$2:$BH$101,MATCH(7,$BJ$2:$BJ$101,0)),"")</f>
        <v/>
      </c>
      <c r="CA8" s="60" t="n">
        <f aca="false">ROUND((0.25*BU6)/HomeINR,-1)</f>
        <v>0</v>
      </c>
      <c r="CB8" s="167" t="s">
        <v>758</v>
      </c>
      <c r="CC8" s="60" t="n">
        <f aca="false">SUMPRODUCT(--(LEN(Setup!$G$6:$G$9)&gt;0))</f>
        <v>0</v>
      </c>
    </row>
    <row r="9" customFormat="false" ht="15" hidden="false" customHeight="false" outlineLevel="0" collapsed="false">
      <c r="A9" s="60" t="str">
        <f aca="false">IF(OR(TripStart="",TripDays="",7&gt;TripDays),"","Day 7 · "&amp;TEXT(TripStart+6,"ddd dd mmm"))</f>
        <v/>
      </c>
      <c r="C9" s="60" t="str">
        <f aca="false">IF(Setup!$B$19="","",Setup!$B$19)</f>
        <v/>
      </c>
      <c r="D9" s="60" t="str">
        <f aca="false">IF(LEN(C9)=0,"",SUMPRODUCT(--(LEN(C$2:C9)&gt;0)))</f>
        <v/>
      </c>
      <c r="E9" s="60" t="str">
        <f aca="false">IFERROR(INDEX(C$2:C$18,MATCH(ROW()-1,D$2:D$18,0)),"")</f>
        <v/>
      </c>
      <c r="F9" s="60" t="str">
        <f aca="false">IF(Setup!$B$25="","",Setup!$B$25)</f>
        <v/>
      </c>
      <c r="G9" s="60" t="str">
        <f aca="false">IF(LEN(F9)=0,"",SUMPRODUCT(--(LEN(F$2:F9)&gt;0)))</f>
        <v/>
      </c>
      <c r="H9" s="60" t="str">
        <f aca="false">IFERROR(INDEX(F$2:F$11,MATCH(ROW()-1,G$2:G$11,0)),"")</f>
        <v/>
      </c>
      <c r="L9" s="60" t="str">
        <f aca="false">IF(Setup!$G$33="","",Setup!$G$33)</f>
        <v/>
      </c>
      <c r="M9" s="60" t="str">
        <f aca="false">IF(LEN(L9)=0,"",SUMPRODUCT(--(LEN(L$2:L9)&gt;0)))</f>
        <v/>
      </c>
      <c r="N9" s="60" t="str">
        <f aca="false">IFERROR(INDEX(L$2:L$9,MATCH(ROW()-1,M$2:M$9,0)),"")</f>
        <v/>
      </c>
      <c r="O9" s="60" t="str">
        <f aca="false">IF(Contacts!$B$13="","",Contacts!$B$13)</f>
        <v/>
      </c>
      <c r="P9" s="60" t="str">
        <f aca="false">IF(LEN(O9)=0,"",SUMPRODUCT(--(LEN(O$2:O9)&gt;0)))</f>
        <v/>
      </c>
      <c r="Q9" s="60" t="str">
        <f aca="false">IFERROR(INDEX(O$2:O$41,MATCH(ROW()-1,P$2:P$41,0)),"")</f>
        <v/>
      </c>
      <c r="R9" s="60" t="str">
        <f aca="false">IF('Country Data'!$A$12="","",'Country Data'!$A$12)</f>
        <v>Nepal</v>
      </c>
      <c r="S9" s="60" t="n">
        <f aca="false">IF(LEN(R9)=0,"",SUMPRODUCT(--(LEN(R$2:R9)&gt;0)))</f>
        <v>8</v>
      </c>
      <c r="T9" s="60" t="str">
        <f aca="false">IFERROR(INDEX(R$2:R$81,MATCH(ROW()-1,S$2:S$81,0)),"")</f>
        <v>Nepal</v>
      </c>
      <c r="U9" s="60" t="str">
        <f aca="false">IF(Settings!$A$12="","",Settings!$A$12)</f>
        <v>Food &amp; dining</v>
      </c>
      <c r="V9" s="60" t="n">
        <f aca="false">IF(LEN(U9)=0,"",SUMPRODUCT(--(LEN(U$2:U9)&gt;0)))</f>
        <v>8</v>
      </c>
      <c r="W9" s="60" t="str">
        <f aca="false">IFERROR(INDEX(U$2:U$26,MATCH(ROW()-1,V$2:V$26,0)),"")</f>
        <v>Food &amp; dining</v>
      </c>
      <c r="X9" s="60" t="str">
        <f aca="false">IF(Settings!$D$12="","",Settings!$D$12)</f>
        <v/>
      </c>
      <c r="Y9" s="60" t="str">
        <f aca="false">IF(LEN(X9)=0,"",SUMPRODUCT(--(LEN(X$2:X9)&gt;0)))</f>
        <v/>
      </c>
      <c r="Z9" s="60" t="str">
        <f aca="false">IFERROR(INDEX(X$2:X$16,MATCH(ROW()-1,Y$2:Y$16,0)),"")</f>
        <v/>
      </c>
      <c r="AA9" s="60" t="str">
        <f aca="false">IF(Settings!$F$12="","",Settings!$F$12)</f>
        <v>Free time</v>
      </c>
      <c r="AB9" s="60" t="n">
        <f aca="false">IF(LEN(AA9)=0,"",SUMPRODUCT(--(LEN(AA$2:AA9)&gt;0)))</f>
        <v>8</v>
      </c>
      <c r="AC9" s="60" t="str">
        <f aca="false">IFERROR(INDEX(AA$2:AA$21,MATCH(ROW()-1,AB$2:AB$21,0)),"")</f>
        <v>Free time</v>
      </c>
      <c r="AD9" s="60" t="str">
        <f aca="false">IF(Settings!$H$12="","",Settings!$H$12)</f>
        <v>Travel insurance</v>
      </c>
      <c r="AE9" s="60" t="n">
        <f aca="false">IF(LEN(AD9)=0,"",SUMPRODUCT(--(LEN(AD$2:AD9)&gt;0)))</f>
        <v>8</v>
      </c>
      <c r="AF9" s="60" t="str">
        <f aca="false">IFERROR(INDEX(AD$2:AD$21,MATCH(ROW()-1,AE$2:AE$21,0)),"")</f>
        <v>Travel insurance</v>
      </c>
      <c r="AJ9" s="60" t="str">
        <f aca="false">IF(Setup!$B$24="","",Setup!$B$24)</f>
        <v/>
      </c>
      <c r="AK9" s="60" t="str">
        <f aca="false">IF(LEN(AJ9)=0,"",SUMPRODUCT(--(LEN(AJ$2:AJ9)&gt;0)))</f>
        <v/>
      </c>
      <c r="AL9" s="60" t="str">
        <f aca="false">IFERROR(INDEX(AJ$2:AJ$12,MATCH(ROW()-1,AK$2:AK$12,0)),"")</f>
        <v/>
      </c>
      <c r="AM9" s="60" t="str">
        <f aca="false">IF(Templates!$E$12="","",IF(OR(Templates!$F$12="x",IFERROR(INDEX(Templates!$G$12:$L$12,MATCH(TripType,Templates!$G$4:$L$4,0))="x",FALSE())),Templates!$E$12,""))</f>
        <v>Toiletries</v>
      </c>
      <c r="AN9" s="60" t="n">
        <f aca="false">IF(LEN(AM9)=0,"",SUMPRODUCT(--(LEN(AM$2:AM9)&gt;0)))</f>
        <v>8</v>
      </c>
      <c r="AO9" s="60" t="str">
        <f aca="false">IFERROR(INDEX(AM$2:AM$81,MATCH(ROW()-1,AN$2:AN$81,0)),"")</f>
        <v>Toiletries</v>
      </c>
      <c r="BA9" s="60" t="str">
        <f aca="false">IF($CC$9="Groups",IF(8&lt;=5,"",""),'Split &amp; Settle'!$B$14)&amp;""</f>
        <v/>
      </c>
      <c r="BB9" s="60" t="n">
        <f aca="false">IF(BA9="",0,N(IF($CC$9="Groups",0,'Split &amp; Settle'!$G$14)))</f>
        <v>0</v>
      </c>
      <c r="BC9" s="60" t="n">
        <f aca="false">MAX(0,-BB9)</f>
        <v>-0</v>
      </c>
      <c r="BD9" s="60" t="n">
        <f aca="false">MAX(0,BB9)</f>
        <v>0</v>
      </c>
      <c r="BE9" s="60" t="n">
        <f aca="false">SUM($BC$2:BC9)</f>
        <v>0</v>
      </c>
      <c r="BF9" s="60" t="n">
        <f aca="false">SUM($BD$2:BD9)</f>
        <v>0</v>
      </c>
      <c r="BH9" s="60" t="n">
        <f aca="false">ROUND(MAX(0,MIN(BE2,BF9)-MAX(BE2-BC2,BF9-BD9)),0)</f>
        <v>0</v>
      </c>
      <c r="BI9" s="60" t="str">
        <f aca="false">IF(BH9&gt;=1,BA2&amp;" pays "&amp;BA9,"")</f>
        <v/>
      </c>
      <c r="BJ9" s="60" t="str">
        <f aca="false">IF(BI9="","",COUNTIF($BH$2:BH9,"&gt;=1"))</f>
        <v/>
      </c>
      <c r="BK9" s="60" t="str">
        <f aca="false">IFERROR(INDEX($BI$2:$BI$101,MATCH(8,$BJ$2:$BJ$101,0)),"")</f>
        <v/>
      </c>
      <c r="BL9" s="60" t="str">
        <f aca="false">IFERROR(INDEX($BH$2:$BH$101,MATCH(8,$BJ$2:$BJ$101,0)),"")</f>
        <v/>
      </c>
      <c r="CA9" s="60" t="n">
        <f aca="false">ROUND((BS6)/HomeINR,-1)</f>
        <v>0</v>
      </c>
      <c r="CB9" s="167" t="s">
        <v>759</v>
      </c>
      <c r="CC9" s="60" t="str">
        <f aca="false">'Split &amp; Settle'!$C$4</f>
        <v>People</v>
      </c>
    </row>
    <row r="10" customFormat="false" ht="15" hidden="false" customHeight="false" outlineLevel="0" collapsed="false">
      <c r="A10" s="60" t="str">
        <f aca="false">IF(OR(TripStart="",TripDays="",8&gt;TripDays),"","Day 8 · "&amp;TEXT(TripStart+7,"ddd dd mmm"))</f>
        <v/>
      </c>
      <c r="C10" s="60" t="str">
        <f aca="false">IF(Setup!$B$20="","",Setup!$B$20)</f>
        <v/>
      </c>
      <c r="D10" s="60" t="str">
        <f aca="false">IF(LEN(C10)=0,"",SUMPRODUCT(--(LEN(C$2:C10)&gt;0)))</f>
        <v/>
      </c>
      <c r="E10" s="60" t="str">
        <f aca="false">IFERROR(INDEX(C$2:C$18,MATCH(ROW()-1,D$2:D$18,0)),"")</f>
        <v/>
      </c>
      <c r="F10" s="60" t="str">
        <f aca="false">IF(Setup!$B$26="","",Setup!$B$26)</f>
        <v/>
      </c>
      <c r="G10" s="60" t="str">
        <f aca="false">IF(LEN(F10)=0,"",SUMPRODUCT(--(LEN(F$2:F10)&gt;0)))</f>
        <v/>
      </c>
      <c r="H10" s="60" t="str">
        <f aca="false">IFERROR(INDEX(F$2:F$11,MATCH(ROW()-1,G$2:G$11,0)),"")</f>
        <v/>
      </c>
      <c r="O10" s="60" t="str">
        <f aca="false">IF(Contacts!$B$14="","",Contacts!$B$14)</f>
        <v/>
      </c>
      <c r="P10" s="60" t="str">
        <f aca="false">IF(LEN(O10)=0,"",SUMPRODUCT(--(LEN(O$2:O10)&gt;0)))</f>
        <v/>
      </c>
      <c r="Q10" s="60" t="str">
        <f aca="false">IFERROR(INDEX(O$2:O$41,MATCH(ROW()-1,P$2:P$41,0)),"")</f>
        <v/>
      </c>
      <c r="R10" s="60" t="str">
        <f aca="false">IF('Country Data'!$A$13="","",'Country Data'!$A$13)</f>
        <v>Japan</v>
      </c>
      <c r="S10" s="60" t="n">
        <f aca="false">IF(LEN(R10)=0,"",SUMPRODUCT(--(LEN(R$2:R10)&gt;0)))</f>
        <v>9</v>
      </c>
      <c r="T10" s="60" t="str">
        <f aca="false">IFERROR(INDEX(R$2:R$81,MATCH(ROW()-1,S$2:S$81,0)),"")</f>
        <v>Japan</v>
      </c>
      <c r="U10" s="60" t="str">
        <f aca="false">IF(Settings!$A$13="","",Settings!$A$13)</f>
        <v>Groceries &amp; snacks</v>
      </c>
      <c r="V10" s="60" t="n">
        <f aca="false">IF(LEN(U10)=0,"",SUMPRODUCT(--(LEN(U$2:U10)&gt;0)))</f>
        <v>9</v>
      </c>
      <c r="W10" s="60" t="str">
        <f aca="false">IFERROR(INDEX(U$2:U$26,MATCH(ROW()-1,V$2:V$26,0)),"")</f>
        <v>Groceries &amp; snacks</v>
      </c>
      <c r="X10" s="60" t="str">
        <f aca="false">IF(Settings!$D$13="","",Settings!$D$13)</f>
        <v/>
      </c>
      <c r="Y10" s="60" t="str">
        <f aca="false">IF(LEN(X10)=0,"",SUMPRODUCT(--(LEN(X$2:X10)&gt;0)))</f>
        <v/>
      </c>
      <c r="Z10" s="60" t="str">
        <f aca="false">IFERROR(INDEX(X$2:X$16,MATCH(ROW()-1,Y$2:Y$16,0)),"")</f>
        <v/>
      </c>
      <c r="AA10" s="60" t="str">
        <f aca="false">IF(Settings!$F$13="","",Settings!$F$13)</f>
        <v>Travel day</v>
      </c>
      <c r="AB10" s="60" t="n">
        <f aca="false">IF(LEN(AA10)=0,"",SUMPRODUCT(--(LEN(AA$2:AA10)&gt;0)))</f>
        <v>9</v>
      </c>
      <c r="AC10" s="60" t="str">
        <f aca="false">IFERROR(INDEX(AA$2:AA$21,MATCH(ROW()-1,AB$2:AB$21,0)),"")</f>
        <v>Travel day</v>
      </c>
      <c r="AD10" s="60" t="str">
        <f aca="false">IF(Settings!$H$13="","",Settings!$H$13)</f>
        <v>Embassy / consulate</v>
      </c>
      <c r="AE10" s="60" t="n">
        <f aca="false">IF(LEN(AD10)=0,"",SUMPRODUCT(--(LEN(AD$2:AD10)&gt;0)))</f>
        <v>9</v>
      </c>
      <c r="AF10" s="60" t="str">
        <f aca="false">IFERROR(INDEX(AD$2:AD$21,MATCH(ROW()-1,AE$2:AE$21,0)),"")</f>
        <v>Embassy / consulate</v>
      </c>
      <c r="AJ10" s="60" t="str">
        <f aca="false">IF(Setup!$B$25="","",Setup!$B$25)</f>
        <v/>
      </c>
      <c r="AK10" s="60" t="str">
        <f aca="false">IF(LEN(AJ10)=0,"",SUMPRODUCT(--(LEN(AJ$2:AJ10)&gt;0)))</f>
        <v/>
      </c>
      <c r="AL10" s="60" t="str">
        <f aca="false">IFERROR(INDEX(AJ$2:AJ$12,MATCH(ROW()-1,AK$2:AK$12,0)),"")</f>
        <v/>
      </c>
      <c r="AM10" s="60" t="str">
        <f aca="false">IF(Templates!$E$13="","",IF(OR(Templates!$F$13="x",IFERROR(INDEX(Templates!$G$13:$L$13,MATCH(TripType,Templates!$G$4:$L$4,0))="x",FALSE())),Templates!$E$13,""))</f>
        <v>Comfortable walking shoes</v>
      </c>
      <c r="AN10" s="60" t="n">
        <f aca="false">IF(LEN(AM10)=0,"",SUMPRODUCT(--(LEN(AM$2:AM10)&gt;0)))</f>
        <v>9</v>
      </c>
      <c r="AO10" s="60" t="str">
        <f aca="false">IFERROR(INDEX(AM$2:AM$81,MATCH(ROW()-1,AN$2:AN$81,0)),"")</f>
        <v>Comfortable walking shoes</v>
      </c>
      <c r="BA10" s="60" t="str">
        <f aca="false">IF($CC$9="Groups",IF(9&lt;=5,"",""),'Split &amp; Settle'!$B$15)&amp;""</f>
        <v/>
      </c>
      <c r="BB10" s="60" t="n">
        <f aca="false">IF(BA10="",0,N(IF($CC$9="Groups",0,'Split &amp; Settle'!$G$15)))</f>
        <v>0</v>
      </c>
      <c r="BC10" s="60" t="n">
        <f aca="false">MAX(0,-BB10)</f>
        <v>-0</v>
      </c>
      <c r="BD10" s="60" t="n">
        <f aca="false">MAX(0,BB10)</f>
        <v>0</v>
      </c>
      <c r="BE10" s="60" t="n">
        <f aca="false">SUM($BC$2:BC10)</f>
        <v>0</v>
      </c>
      <c r="BF10" s="60" t="n">
        <f aca="false">SUM($BD$2:BD10)</f>
        <v>0</v>
      </c>
      <c r="BH10" s="60" t="n">
        <f aca="false">ROUND(MAX(0,MIN(BE2,BF10)-MAX(BE2-BC2,BF10-BD10)),0)</f>
        <v>0</v>
      </c>
      <c r="BI10" s="60" t="str">
        <f aca="false">IF(BH10&gt;=1,BA2&amp;" pays "&amp;BA10,"")</f>
        <v/>
      </c>
      <c r="BJ10" s="60" t="str">
        <f aca="false">IF(BI10="","",COUNTIF($BH$2:BH10,"&gt;=1"))</f>
        <v/>
      </c>
      <c r="BK10" s="60" t="str">
        <f aca="false">IFERROR(INDEX($BI$2:$BI$101,MATCH(9,$BJ$2:$BJ$101,0)),"")</f>
        <v/>
      </c>
      <c r="BL10" s="60" t="str">
        <f aca="false">IFERROR(INDEX($BH$2:$BH$101,MATCH(9,$BJ$2:$BJ$101,0)),"")</f>
        <v/>
      </c>
      <c r="CA10" s="60" t="n">
        <f aca="false">ROUND((IF(BN2="",0,150*N(TripDays)*$CC$3))/HomeINR,-1)</f>
        <v>0</v>
      </c>
      <c r="CB10" s="167" t="s">
        <v>760</v>
      </c>
      <c r="CC10" s="60" t="str">
        <f aca="false">IF(Today!$C$4="","",IF(LEFT(Today!$C$4,3)="Pre",0,IFERROR(VALUE(MID(Today!$C$4,5,FIND(" ",Today!$C$4&amp;" ",5)-5)),"")))</f>
        <v/>
      </c>
    </row>
    <row r="11" customFormat="false" ht="15" hidden="false" customHeight="false" outlineLevel="0" collapsed="false">
      <c r="A11" s="60" t="str">
        <f aca="false">IF(OR(TripStart="",TripDays="",9&gt;TripDays),"","Day 9 · "&amp;TEXT(TripStart+8,"ddd dd mmm"))</f>
        <v/>
      </c>
      <c r="C11" s="60" t="str">
        <f aca="false">IF(Setup!$B$21="","",Setup!$B$21)</f>
        <v/>
      </c>
      <c r="D11" s="60" t="str">
        <f aca="false">IF(LEN(C11)=0,"",SUMPRODUCT(--(LEN(C$2:C11)&gt;0)))</f>
        <v/>
      </c>
      <c r="E11" s="60" t="str">
        <f aca="false">IFERROR(INDEX(C$2:C$18,MATCH(ROW()-1,D$2:D$18,0)),"")</f>
        <v/>
      </c>
      <c r="F11" s="60" t="str">
        <f aca="false">IF(Setup!$B$27="","",Setup!$B$27)</f>
        <v/>
      </c>
      <c r="G11" s="60" t="str">
        <f aca="false">IF(LEN(F11)=0,"",SUMPRODUCT(--(LEN(F$2:F11)&gt;0)))</f>
        <v/>
      </c>
      <c r="H11" s="60" t="str">
        <f aca="false">IFERROR(INDEX(F$2:F$11,MATCH(ROW()-1,G$2:G$11,0)),"")</f>
        <v/>
      </c>
      <c r="O11" s="60" t="str">
        <f aca="false">IF(Contacts!$B$15="","",Contacts!$B$15)</f>
        <v/>
      </c>
      <c r="P11" s="60" t="str">
        <f aca="false">IF(LEN(O11)=0,"",SUMPRODUCT(--(LEN(O$2:O11)&gt;0)))</f>
        <v/>
      </c>
      <c r="Q11" s="60" t="str">
        <f aca="false">IFERROR(INDEX(O$2:O$41,MATCH(ROW()-1,P$2:P$41,0)),"")</f>
        <v/>
      </c>
      <c r="R11" s="60" t="str">
        <f aca="false">IF('Country Data'!$A$14="","",'Country Data'!$A$14)</f>
        <v>South Korea</v>
      </c>
      <c r="S11" s="60" t="n">
        <f aca="false">IF(LEN(R11)=0,"",SUMPRODUCT(--(LEN(R$2:R11)&gt;0)))</f>
        <v>10</v>
      </c>
      <c r="T11" s="60" t="str">
        <f aca="false">IFERROR(INDEX(R$2:R$81,MATCH(ROW()-1,S$2:S$81,0)),"")</f>
        <v>South Korea</v>
      </c>
      <c r="U11" s="60" t="str">
        <f aca="false">IF(Settings!$A$14="","",Settings!$A$14)</f>
        <v>Shopping &amp; souvenirs</v>
      </c>
      <c r="V11" s="60" t="n">
        <f aca="false">IF(LEN(U11)=0,"",SUMPRODUCT(--(LEN(U$2:U11)&gt;0)))</f>
        <v>10</v>
      </c>
      <c r="W11" s="60" t="str">
        <f aca="false">IFERROR(INDEX(U$2:U$26,MATCH(ROW()-1,V$2:V$26,0)),"")</f>
        <v>Shopping &amp; souvenirs</v>
      </c>
      <c r="X11" s="60" t="str">
        <f aca="false">IF(Settings!$D$14="","",Settings!$D$14)</f>
        <v/>
      </c>
      <c r="Y11" s="60" t="str">
        <f aca="false">IF(LEN(X11)=0,"",SUMPRODUCT(--(LEN(X$2:X11)&gt;0)))</f>
        <v/>
      </c>
      <c r="Z11" s="60" t="str">
        <f aca="false">IFERROR(INDEX(X$2:X$16,MATCH(ROW()-1,Y$2:Y$16,0)),"")</f>
        <v/>
      </c>
      <c r="AA11" s="60" t="str">
        <f aca="false">IF(Settings!$F$14="","",Settings!$F$14)</f>
        <v>Other</v>
      </c>
      <c r="AB11" s="60" t="n">
        <f aca="false">IF(LEN(AA11)=0,"",SUMPRODUCT(--(LEN(AA$2:AA11)&gt;0)))</f>
        <v>10</v>
      </c>
      <c r="AC11" s="60" t="str">
        <f aca="false">IFERROR(INDEX(AA$2:AA$21,MATCH(ROW()-1,AB$2:AB$21,0)),"")</f>
        <v>Other</v>
      </c>
      <c r="AD11" s="60" t="str">
        <f aca="false">IF(Settings!$H$14="","",Settings!$H$14)</f>
        <v>Emergency</v>
      </c>
      <c r="AE11" s="60" t="n">
        <f aca="false">IF(LEN(AD11)=0,"",SUMPRODUCT(--(LEN(AD$2:AD11)&gt;0)))</f>
        <v>10</v>
      </c>
      <c r="AF11" s="60" t="str">
        <f aca="false">IFERROR(INDEX(AD$2:AD$21,MATCH(ROW()-1,AE$2:AE$21,0)),"")</f>
        <v>Emergency</v>
      </c>
      <c r="AJ11" s="60" t="str">
        <f aca="false">IF(Setup!$B$26="","",Setup!$B$26)</f>
        <v/>
      </c>
      <c r="AK11" s="60" t="str">
        <f aca="false">IF(LEN(AJ11)=0,"",SUMPRODUCT(--(LEN(AJ$2:AJ11)&gt;0)))</f>
        <v/>
      </c>
      <c r="AL11" s="60" t="str">
        <f aca="false">IFERROR(INDEX(AJ$2:AJ$12,MATCH(ROW()-1,AK$2:AK$12,0)),"")</f>
        <v/>
      </c>
      <c r="AM11" s="60" t="str">
        <f aca="false">IF(Templates!$E$14="","",IF(OR(Templates!$F$14="x",IFERROR(INDEX(Templates!$G$14:$L$14,MATCH(TripType,Templates!$G$4:$L$4,0))="x",FALSE())),Templates!$E$14,""))</f>
        <v>Daypack</v>
      </c>
      <c r="AN11" s="60" t="n">
        <f aca="false">IF(LEN(AM11)=0,"",SUMPRODUCT(--(LEN(AM$2:AM11)&gt;0)))</f>
        <v>10</v>
      </c>
      <c r="AO11" s="60" t="str">
        <f aca="false">IFERROR(INDEX(AM$2:AM$81,MATCH(ROW()-1,AN$2:AN$81,0)),"")</f>
        <v>Daypack</v>
      </c>
      <c r="BA11" s="60" t="str">
        <f aca="false">IF($CC$9="Groups",IF(10&lt;=5,"",""),'Split &amp; Settle'!$B$16)&amp;""</f>
        <v/>
      </c>
      <c r="BB11" s="60" t="n">
        <f aca="false">IF(BA11="",0,N(IF($CC$9="Groups",0,'Split &amp; Settle'!$G$16)))</f>
        <v>0</v>
      </c>
      <c r="BC11" s="60" t="n">
        <f aca="false">MAX(0,-BB11)</f>
        <v>-0</v>
      </c>
      <c r="BD11" s="60" t="n">
        <f aca="false">MAX(0,BB11)</f>
        <v>0</v>
      </c>
      <c r="BE11" s="60" t="n">
        <f aca="false">SUM($BC$2:BC11)</f>
        <v>0</v>
      </c>
      <c r="BF11" s="60" t="n">
        <f aca="false">SUM($BD$2:BD11)</f>
        <v>0</v>
      </c>
      <c r="BH11" s="60" t="n">
        <f aca="false">ROUND(MAX(0,MIN(BE2,BF11)-MAX(BE2-BC2,BF11-BD11)),0)</f>
        <v>0</v>
      </c>
      <c r="BI11" s="60" t="str">
        <f aca="false">IF(BH11&gt;=1,BA2&amp;" pays "&amp;BA11,"")</f>
        <v/>
      </c>
      <c r="BJ11" s="60" t="str">
        <f aca="false">IF(BI11="","",COUNTIF($BH$2:BH11,"&gt;=1"))</f>
        <v/>
      </c>
      <c r="BK11" s="60" t="str">
        <f aca="false">IFERROR(INDEX($BI$2:$BI$101,MATCH(10,$BJ$2:$BJ$101,0)),"")</f>
        <v/>
      </c>
      <c r="BL11" s="60" t="str">
        <f aca="false">IFERROR(INDEX($BH$2:$BH$101,MATCH(10,$BJ$2:$BJ$101,0)),"")</f>
        <v/>
      </c>
      <c r="CA11" s="60" t="n">
        <f aca="false">ROUND((0.06*(BR6+BS6+BU6))/HomeINR,-1)</f>
        <v>0</v>
      </c>
      <c r="CB11" s="167" t="s">
        <v>761</v>
      </c>
      <c r="CC11" s="60" t="n">
        <f aca="false">IFERROR(MATCH(Dashboard!$C$4,Setup!$B$18:$B$27,0),0)</f>
        <v>0</v>
      </c>
    </row>
    <row r="12" customFormat="false" ht="15" hidden="false" customHeight="false" outlineLevel="0" collapsed="false">
      <c r="A12" s="60" t="str">
        <f aca="false">IF(OR(TripStart="",TripDays="",10&gt;TripDays),"","Day 10 · "&amp;TEXT(TripStart+9,"ddd dd mmm"))</f>
        <v/>
      </c>
      <c r="C12" s="60" t="str">
        <f aca="false">IF(Setup!$B$22="","",Setup!$B$22)</f>
        <v/>
      </c>
      <c r="D12" s="60" t="str">
        <f aca="false">IF(LEN(C12)=0,"",SUMPRODUCT(--(LEN(C$2:C12)&gt;0)))</f>
        <v/>
      </c>
      <c r="E12" s="60" t="str">
        <f aca="false">IFERROR(INDEX(C$2:C$18,MATCH(ROW()-1,D$2:D$18,0)),"")</f>
        <v/>
      </c>
      <c r="O12" s="60" t="str">
        <f aca="false">IF(Contacts!$B$16="","",Contacts!$B$16)</f>
        <v/>
      </c>
      <c r="P12" s="60" t="str">
        <f aca="false">IF(LEN(O12)=0,"",SUMPRODUCT(--(LEN(O$2:O12)&gt;0)))</f>
        <v/>
      </c>
      <c r="Q12" s="60" t="str">
        <f aca="false">IFERROR(INDEX(O$2:O$41,MATCH(ROW()-1,P$2:P$41,0)),"")</f>
        <v/>
      </c>
      <c r="R12" s="60" t="str">
        <f aca="false">IF('Country Data'!$A$15="","",'Country Data'!$A$15)</f>
        <v>Hong Kong</v>
      </c>
      <c r="S12" s="60" t="n">
        <f aca="false">IF(LEN(R12)=0,"",SUMPRODUCT(--(LEN(R$2:R12)&gt;0)))</f>
        <v>11</v>
      </c>
      <c r="T12" s="60" t="str">
        <f aca="false">IFERROR(INDEX(R$2:R$81,MATCH(ROW()-1,S$2:S$81,0)),"")</f>
        <v>Hong Kong</v>
      </c>
      <c r="U12" s="60" t="str">
        <f aca="false">IF(Settings!$A$15="","",Settings!$A$15)</f>
        <v>Visa &amp; documents</v>
      </c>
      <c r="V12" s="60" t="n">
        <f aca="false">IF(LEN(U12)=0,"",SUMPRODUCT(--(LEN(U$2:U12)&gt;0)))</f>
        <v>11</v>
      </c>
      <c r="W12" s="60" t="str">
        <f aca="false">IFERROR(INDEX(U$2:U$26,MATCH(ROW()-1,V$2:V$26,0)),"")</f>
        <v>Visa &amp; documents</v>
      </c>
      <c r="X12" s="60" t="str">
        <f aca="false">IF(Settings!$D$15="","",Settings!$D$15)</f>
        <v/>
      </c>
      <c r="Y12" s="60" t="str">
        <f aca="false">IF(LEN(X12)=0,"",SUMPRODUCT(--(LEN(X$2:X12)&gt;0)))</f>
        <v/>
      </c>
      <c r="Z12" s="60" t="str">
        <f aca="false">IFERROR(INDEX(X$2:X$16,MATCH(ROW()-1,Y$2:Y$16,0)),"")</f>
        <v/>
      </c>
      <c r="AA12" s="60" t="str">
        <f aca="false">IF(Settings!$F$15="","",Settings!$F$15)</f>
        <v/>
      </c>
      <c r="AB12" s="60" t="str">
        <f aca="false">IF(LEN(AA12)=0,"",SUMPRODUCT(--(LEN(AA$2:AA12)&gt;0)))</f>
        <v/>
      </c>
      <c r="AC12" s="60" t="str">
        <f aca="false">IFERROR(INDEX(AA$2:AA$21,MATCH(ROW()-1,AB$2:AB$21,0)),"")</f>
        <v/>
      </c>
      <c r="AD12" s="60" t="str">
        <f aca="false">IF(Settings!$H$15="","",Settings!$H$15)</f>
        <v>Other</v>
      </c>
      <c r="AE12" s="60" t="n">
        <f aca="false">IF(LEN(AD12)=0,"",SUMPRODUCT(--(LEN(AD$2:AD12)&gt;0)))</f>
        <v>11</v>
      </c>
      <c r="AF12" s="60" t="str">
        <f aca="false">IFERROR(INDEX(AD$2:AD$21,MATCH(ROW()-1,AE$2:AE$21,0)),"")</f>
        <v>Other</v>
      </c>
      <c r="AJ12" s="60" t="str">
        <f aca="false">IF(Setup!$B$27="","",Setup!$B$27)</f>
        <v/>
      </c>
      <c r="AK12" s="60" t="str">
        <f aca="false">IF(LEN(AJ12)=0,"",SUMPRODUCT(--(LEN(AJ$2:AJ12)&gt;0)))</f>
        <v/>
      </c>
      <c r="AL12" s="60" t="str">
        <f aca="false">IFERROR(INDEX(AJ$2:AJ$12,MATCH(ROW()-1,AK$2:AK$12,0)),"")</f>
        <v/>
      </c>
      <c r="AM12" s="60" t="str">
        <f aca="false">IF(Templates!$E$15="","",IF(OR(Templates!$F$15="x",IFERROR(INDEX(Templates!$G$15:$L$15,MATCH(TripType,Templates!$G$4:$L$4,0))="x",FALSE())),Templates!$E$15,""))</f>
        <v>Reusable water bottle</v>
      </c>
      <c r="AN12" s="60" t="n">
        <f aca="false">IF(LEN(AM12)=0,"",SUMPRODUCT(--(LEN(AM$2:AM12)&gt;0)))</f>
        <v>11</v>
      </c>
      <c r="AO12" s="60" t="str">
        <f aca="false">IFERROR(INDEX(AM$2:AM$81,MATCH(ROW()-1,AN$2:AN$81,0)),"")</f>
        <v>Reusable water bottle</v>
      </c>
      <c r="BH12" s="60" t="n">
        <f aca="false">ROUND(MAX(0,MIN(BE3,BF2)-MAX(BE3-BC3,BF2-BD2)),0)</f>
        <v>0</v>
      </c>
      <c r="BI12" s="60" t="str">
        <f aca="false">IF(BH12&gt;=1,BA3&amp;" pays "&amp;BA2,"")</f>
        <v/>
      </c>
      <c r="BJ12" s="60" t="str">
        <f aca="false">IF(BI12="","",COUNTIF($BH$2:BH12,"&gt;=1"))</f>
        <v/>
      </c>
      <c r="BK12" s="60" t="str">
        <f aca="false">IFERROR(INDEX($BI$2:$BI$101,MATCH(11,$BJ$2:$BJ$101,0)),"")</f>
        <v/>
      </c>
      <c r="BL12" s="60" t="str">
        <f aca="false">IFERROR(INDEX($BH$2:$BH$101,MATCH(11,$BJ$2:$BJ$101,0)),"")</f>
        <v/>
      </c>
      <c r="CA12" s="60" t="n">
        <f aca="false">ROUND((BV6)/HomeINR,-1)</f>
        <v>0</v>
      </c>
      <c r="CB12" s="167" t="s">
        <v>762</v>
      </c>
      <c r="CC12" s="60" t="str">
        <f aca="false">Setup!$G$6&amp;IF(Setup!$G$7="",""," + "&amp;Setup!$G$7)&amp;IF(Setup!$G$8="",""," + "&amp;Setup!$G$8)&amp;IF(Setup!$G$9="",""," + "&amp;Setup!$G$9)</f>
        <v/>
      </c>
    </row>
    <row r="13" customFormat="false" ht="15" hidden="false" customHeight="false" outlineLevel="0" collapsed="false">
      <c r="A13" s="60" t="str">
        <f aca="false">IF(OR(TripStart="",TripDays="",11&gt;TripDays),"","Day 11 · "&amp;TEXT(TripStart+10,"ddd dd mmm"))</f>
        <v/>
      </c>
      <c r="C13" s="60" t="str">
        <f aca="false">IF(Setup!$B$23="","",Setup!$B$23)</f>
        <v/>
      </c>
      <c r="D13" s="60" t="str">
        <f aca="false">IF(LEN(C13)=0,"",SUMPRODUCT(--(LEN(C$2:C13)&gt;0)))</f>
        <v/>
      </c>
      <c r="E13" s="60" t="str">
        <f aca="false">IFERROR(INDEX(C$2:C$18,MATCH(ROW()-1,D$2:D$18,0)),"")</f>
        <v/>
      </c>
      <c r="O13" s="60" t="str">
        <f aca="false">IF(Contacts!$B$17="","",Contacts!$B$17)</f>
        <v/>
      </c>
      <c r="P13" s="60" t="str">
        <f aca="false">IF(LEN(O13)=0,"",SUMPRODUCT(--(LEN(O$2:O13)&gt;0)))</f>
        <v/>
      </c>
      <c r="Q13" s="60" t="str">
        <f aca="false">IFERROR(INDEX(O$2:O$41,MATCH(ROW()-1,P$2:P$41,0)),"")</f>
        <v/>
      </c>
      <c r="R13" s="60" t="str">
        <f aca="false">IF('Country Data'!$A$16="","",'Country Data'!$A$16)</f>
        <v>Philippines</v>
      </c>
      <c r="S13" s="60" t="n">
        <f aca="false">IF(LEN(R13)=0,"",SUMPRODUCT(--(LEN(R$2:R13)&gt;0)))</f>
        <v>12</v>
      </c>
      <c r="T13" s="60" t="str">
        <f aca="false">IFERROR(INDEX(R$2:R$81,MATCH(ROW()-1,S$2:S$81,0)),"")</f>
        <v>Philippines</v>
      </c>
      <c r="U13" s="60" t="str">
        <f aca="false">IF(Settings!$A$16="","",Settings!$A$16)</f>
        <v>Travel insurance</v>
      </c>
      <c r="V13" s="60" t="n">
        <f aca="false">IF(LEN(U13)=0,"",SUMPRODUCT(--(LEN(U$2:U13)&gt;0)))</f>
        <v>12</v>
      </c>
      <c r="W13" s="60" t="str">
        <f aca="false">IFERROR(INDEX(U$2:U$26,MATCH(ROW()-1,V$2:V$26,0)),"")</f>
        <v>Travel insurance</v>
      </c>
      <c r="X13" s="60" t="str">
        <f aca="false">IF(Settings!$D$16="","",Settings!$D$16)</f>
        <v/>
      </c>
      <c r="Y13" s="60" t="str">
        <f aca="false">IF(LEN(X13)=0,"",SUMPRODUCT(--(LEN(X$2:X13)&gt;0)))</f>
        <v/>
      </c>
      <c r="Z13" s="60" t="str">
        <f aca="false">IFERROR(INDEX(X$2:X$16,MATCH(ROW()-1,Y$2:Y$16,0)),"")</f>
        <v/>
      </c>
      <c r="AA13" s="60" t="str">
        <f aca="false">IF(Settings!$F$16="","",Settings!$F$16)</f>
        <v/>
      </c>
      <c r="AB13" s="60" t="str">
        <f aca="false">IF(LEN(AA13)=0,"",SUMPRODUCT(--(LEN(AA$2:AA13)&gt;0)))</f>
        <v/>
      </c>
      <c r="AC13" s="60" t="str">
        <f aca="false">IFERROR(INDEX(AA$2:AA$21,MATCH(ROW()-1,AB$2:AB$21,0)),"")</f>
        <v/>
      </c>
      <c r="AD13" s="60" t="str">
        <f aca="false">IF(Settings!$H$16="","",Settings!$H$16)</f>
        <v/>
      </c>
      <c r="AE13" s="60" t="str">
        <f aca="false">IF(LEN(AD13)=0,"",SUMPRODUCT(--(LEN(AD$2:AD13)&gt;0)))</f>
        <v/>
      </c>
      <c r="AF13" s="60" t="str">
        <f aca="false">IFERROR(INDEX(AD$2:AD$21,MATCH(ROW()-1,AE$2:AE$21,0)),"")</f>
        <v/>
      </c>
      <c r="AM13" s="60" t="str">
        <f aca="false">IF(Templates!$E$16="","",IF(OR(Templates!$F$16="x",IFERROR(INDEX(Templates!$G$16:$L$16,MATCH(TripType,Templates!$G$4:$L$4,0))="x",FALSE())),Templates!$E$16,""))</f>
        <v>Earphones / eye mask for flights</v>
      </c>
      <c r="AN13" s="60" t="n">
        <f aca="false">IF(LEN(AM13)=0,"",SUMPRODUCT(--(LEN(AM$2:AM13)&gt;0)))</f>
        <v>12</v>
      </c>
      <c r="AO13" s="60" t="str">
        <f aca="false">IFERROR(INDEX(AM$2:AM$81,MATCH(ROW()-1,AN$2:AN$81,0)),"")</f>
        <v>Earphones / eye mask for flights</v>
      </c>
      <c r="BH13" s="60" t="n">
        <f aca="false">ROUND(MAX(0,MIN(BE3,BF3)-MAX(BE3-BC3,BF3-BD3)),0)</f>
        <v>0</v>
      </c>
      <c r="BI13" s="60" t="str">
        <f aca="false">IF(BH13&gt;=1,BA3&amp;" pays "&amp;BA3,"")</f>
        <v/>
      </c>
      <c r="BJ13" s="60" t="str">
        <f aca="false">IF(BI13="","",COUNTIF($BH$2:BH13,"&gt;=1"))</f>
        <v/>
      </c>
      <c r="BK13" s="60" t="str">
        <f aca="false">IFERROR(INDEX($BI$2:$BI$101,MATCH(12,$BJ$2:$BJ$101,0)),"")</f>
        <v/>
      </c>
      <c r="BL13" s="60" t="str">
        <f aca="false">IFERROR(INDEX($BH$2:$BH$101,MATCH(12,$BJ$2:$BJ$101,0)),"")</f>
        <v/>
      </c>
      <c r="CA13" s="60" t="n">
        <f aca="false">ROUND((BW6)/HomeINR,-1)</f>
        <v>0</v>
      </c>
      <c r="CB13" s="167" t="s">
        <v>763</v>
      </c>
      <c r="CC13" s="60" t="str">
        <f aca="false">IF(Setup!$G$6="","",Setup!$G$6&amp;": "&amp;IFERROR(INDEX('Country Data'!$D$5:$D$84,MATCH(Setup!$G$6,'Country Data'!$A$5:$A$84,0)),""))&amp;IF(Setup!$G$7="","","  ·  "&amp;Setup!$G$7&amp;": "&amp;IFERROR(INDEX('Country Data'!$D$5:$D$84,MATCH(Setup!$G$7,'Country Data'!$A$5:$A$84,0)),""))</f>
        <v/>
      </c>
    </row>
    <row r="14" customFormat="false" ht="15" hidden="false" customHeight="false" outlineLevel="0" collapsed="false">
      <c r="A14" s="60" t="str">
        <f aca="false">IF(OR(TripStart="",TripDays="",12&gt;TripDays),"","Day 12 · "&amp;TEXT(TripStart+11,"ddd dd mmm"))</f>
        <v/>
      </c>
      <c r="C14" s="60" t="str">
        <f aca="false">IF(Setup!$B$24="","",Setup!$B$24)</f>
        <v/>
      </c>
      <c r="D14" s="60" t="str">
        <f aca="false">IF(LEN(C14)=0,"",SUMPRODUCT(--(LEN(C$2:C14)&gt;0)))</f>
        <v/>
      </c>
      <c r="E14" s="60" t="str">
        <f aca="false">IFERROR(INDEX(C$2:C$18,MATCH(ROW()-1,D$2:D$18,0)),"")</f>
        <v/>
      </c>
      <c r="O14" s="60" t="str">
        <f aca="false">IF(Contacts!$B$18="","",Contacts!$B$18)</f>
        <v/>
      </c>
      <c r="P14" s="60" t="str">
        <f aca="false">IF(LEN(O14)=0,"",SUMPRODUCT(--(LEN(O$2:O14)&gt;0)))</f>
        <v/>
      </c>
      <c r="Q14" s="60" t="str">
        <f aca="false">IFERROR(INDEX(O$2:O$41,MATCH(ROW()-1,P$2:P$41,0)),"")</f>
        <v/>
      </c>
      <c r="R14" s="60" t="str">
        <f aca="false">IF('Country Data'!$A$17="","",'Country Data'!$A$17)</f>
        <v>Kazakhstan</v>
      </c>
      <c r="S14" s="60" t="n">
        <f aca="false">IF(LEN(R14)=0,"",SUMPRODUCT(--(LEN(R$2:R14)&gt;0)))</f>
        <v>13</v>
      </c>
      <c r="T14" s="60" t="str">
        <f aca="false">IFERROR(INDEX(R$2:R$81,MATCH(ROW()-1,S$2:S$81,0)),"")</f>
        <v>Kazakhstan</v>
      </c>
      <c r="U14" s="60" t="str">
        <f aca="false">IF(Settings!$A$17="","",Settings!$A$17)</f>
        <v>SIM / eSIM &amp; internet</v>
      </c>
      <c r="V14" s="60" t="n">
        <f aca="false">IF(LEN(U14)=0,"",SUMPRODUCT(--(LEN(U$2:U14)&gt;0)))</f>
        <v>13</v>
      </c>
      <c r="W14" s="60" t="str">
        <f aca="false">IFERROR(INDEX(U$2:U$26,MATCH(ROW()-1,V$2:V$26,0)),"")</f>
        <v>SIM / eSIM &amp; internet</v>
      </c>
      <c r="X14" s="60" t="str">
        <f aca="false">IF(Settings!$D$17="","",Settings!$D$17)</f>
        <v/>
      </c>
      <c r="Y14" s="60" t="str">
        <f aca="false">IF(LEN(X14)=0,"",SUMPRODUCT(--(LEN(X$2:X14)&gt;0)))</f>
        <v/>
      </c>
      <c r="Z14" s="60" t="str">
        <f aca="false">IFERROR(INDEX(X$2:X$16,MATCH(ROW()-1,Y$2:Y$16,0)),"")</f>
        <v/>
      </c>
      <c r="AA14" s="60" t="str">
        <f aca="false">IF(Settings!$F$17="","",Settings!$F$17)</f>
        <v/>
      </c>
      <c r="AB14" s="60" t="str">
        <f aca="false">IF(LEN(AA14)=0,"",SUMPRODUCT(--(LEN(AA$2:AA14)&gt;0)))</f>
        <v/>
      </c>
      <c r="AC14" s="60" t="str">
        <f aca="false">IFERROR(INDEX(AA$2:AA$21,MATCH(ROW()-1,AB$2:AB$21,0)),"")</f>
        <v/>
      </c>
      <c r="AD14" s="60" t="str">
        <f aca="false">IF(Settings!$H$17="","",Settings!$H$17)</f>
        <v/>
      </c>
      <c r="AE14" s="60" t="str">
        <f aca="false">IF(LEN(AD14)=0,"",SUMPRODUCT(--(LEN(AD$2:AD14)&gt;0)))</f>
        <v/>
      </c>
      <c r="AF14" s="60" t="str">
        <f aca="false">IFERROR(INDEX(AD$2:AD$21,MATCH(ROW()-1,AE$2:AE$21,0)),"")</f>
        <v/>
      </c>
      <c r="AM14" s="60" t="str">
        <f aca="false">IF(Templates!$E$17="","",IF(OR(Templates!$F$17="x",IFERROR(INDEX(Templates!$G$17:$L$17,MATCH(TripType,Templates!$G$4:$L$4,0))="x",FALSE())),Templates!$E$17,""))</f>
        <v>Pen (for arrival forms)</v>
      </c>
      <c r="AN14" s="60" t="n">
        <f aca="false">IF(LEN(AM14)=0,"",SUMPRODUCT(--(LEN(AM$2:AM14)&gt;0)))</f>
        <v>13</v>
      </c>
      <c r="AO14" s="60" t="str">
        <f aca="false">IFERROR(INDEX(AM$2:AM$81,MATCH(ROW()-1,AN$2:AN$81,0)),"")</f>
        <v>Pen (for arrival forms)</v>
      </c>
      <c r="BH14" s="60" t="n">
        <f aca="false">ROUND(MAX(0,MIN(BE3,BF4)-MAX(BE3-BC3,BF4-BD4)),0)</f>
        <v>0</v>
      </c>
      <c r="BI14" s="60" t="str">
        <f aca="false">IF(BH14&gt;=1,BA3&amp;" pays "&amp;BA4,"")</f>
        <v/>
      </c>
      <c r="BJ14" s="60" t="str">
        <f aca="false">IF(BI14="","",COUNTIF($BH$2:BH14,"&gt;=1"))</f>
        <v/>
      </c>
      <c r="BK14" s="60" t="str">
        <f aca="false">IFERROR(INDEX($BI$2:$BI$101,MATCH(13,$BJ$2:$BJ$101,0)),"")</f>
        <v/>
      </c>
      <c r="BL14" s="60" t="str">
        <f aca="false">IFERROR(INDEX($BH$2:$BH$101,MATCH(13,$BJ$2:$BJ$101,0)),"")</f>
        <v/>
      </c>
      <c r="CA14" s="60" t="n">
        <f aca="false">ROUND((BX6)/HomeINR,-1)</f>
        <v>0</v>
      </c>
    </row>
    <row r="15" customFormat="false" ht="15" hidden="false" customHeight="false" outlineLevel="0" collapsed="false">
      <c r="A15" s="60" t="str">
        <f aca="false">IF(OR(TripStart="",TripDays="",13&gt;TripDays),"","Day 13 · "&amp;TEXT(TripStart+12,"ddd dd mmm"))</f>
        <v/>
      </c>
      <c r="C15" s="60" t="str">
        <f aca="false">IF(Setup!$B$25="","",Setup!$B$25)</f>
        <v/>
      </c>
      <c r="D15" s="60" t="str">
        <f aca="false">IF(LEN(C15)=0,"",SUMPRODUCT(--(LEN(C$2:C15)&gt;0)))</f>
        <v/>
      </c>
      <c r="E15" s="60" t="str">
        <f aca="false">IFERROR(INDEX(C$2:C$18,MATCH(ROW()-1,D$2:D$18,0)),"")</f>
        <v/>
      </c>
      <c r="O15" s="60" t="str">
        <f aca="false">IF(Contacts!$B$19="","",Contacts!$B$19)</f>
        <v/>
      </c>
      <c r="P15" s="60" t="str">
        <f aca="false">IF(LEN(O15)=0,"",SUMPRODUCT(--(LEN(O$2:O15)&gt;0)))</f>
        <v/>
      </c>
      <c r="Q15" s="60" t="str">
        <f aca="false">IFERROR(INDEX(O$2:O$41,MATCH(ROW()-1,P$2:P$41,0)),"")</f>
        <v/>
      </c>
      <c r="R15" s="60" t="str">
        <f aca="false">IF('Country Data'!$A$18="","",'Country Data'!$A$18)</f>
        <v>Georgia</v>
      </c>
      <c r="S15" s="60" t="n">
        <f aca="false">IF(LEN(R15)=0,"",SUMPRODUCT(--(LEN(R$2:R15)&gt;0)))</f>
        <v>14</v>
      </c>
      <c r="T15" s="60" t="str">
        <f aca="false">IFERROR(INDEX(R$2:R$81,MATCH(ROW()-1,S$2:S$81,0)),"")</f>
        <v>Georgia</v>
      </c>
      <c r="U15" s="60" t="str">
        <f aca="false">IF(Settings!$A$18="","",Settings!$A$18)</f>
        <v>Forex &amp; bank fees</v>
      </c>
      <c r="V15" s="60" t="n">
        <f aca="false">IF(LEN(U15)=0,"",SUMPRODUCT(--(LEN(U$2:U15)&gt;0)))</f>
        <v>14</v>
      </c>
      <c r="W15" s="60" t="str">
        <f aca="false">IFERROR(INDEX(U$2:U$26,MATCH(ROW()-1,V$2:V$26,0)),"")</f>
        <v>Forex &amp; bank fees</v>
      </c>
      <c r="X15" s="60" t="str">
        <f aca="false">IF(Settings!$D$18="","",Settings!$D$18)</f>
        <v/>
      </c>
      <c r="Y15" s="60" t="str">
        <f aca="false">IF(LEN(X15)=0,"",SUMPRODUCT(--(LEN(X$2:X15)&gt;0)))</f>
        <v/>
      </c>
      <c r="Z15" s="60" t="str">
        <f aca="false">IFERROR(INDEX(X$2:X$16,MATCH(ROW()-1,Y$2:Y$16,0)),"")</f>
        <v/>
      </c>
      <c r="AA15" s="60" t="str">
        <f aca="false">IF(Settings!$F$18="","",Settings!$F$18)</f>
        <v/>
      </c>
      <c r="AB15" s="60" t="str">
        <f aca="false">IF(LEN(AA15)=0,"",SUMPRODUCT(--(LEN(AA$2:AA15)&gt;0)))</f>
        <v/>
      </c>
      <c r="AC15" s="60" t="str">
        <f aca="false">IFERROR(INDEX(AA$2:AA$21,MATCH(ROW()-1,AB$2:AB$21,0)),"")</f>
        <v/>
      </c>
      <c r="AD15" s="60" t="str">
        <f aca="false">IF(Settings!$H$18="","",Settings!$H$18)</f>
        <v/>
      </c>
      <c r="AE15" s="60" t="str">
        <f aca="false">IF(LEN(AD15)=0,"",SUMPRODUCT(--(LEN(AD$2:AD15)&gt;0)))</f>
        <v/>
      </c>
      <c r="AF15" s="60" t="str">
        <f aca="false">IFERROR(INDEX(AD$2:AD$21,MATCH(ROW()-1,AE$2:AE$21,0)),"")</f>
        <v/>
      </c>
      <c r="AM15" s="60" t="str">
        <f aca="false">IF(Templates!$E$18="","",IF(OR(Templates!$F$18="x",IFERROR(INDEX(Templates!$G$18:$L$18,MATCH(TripType,Templates!$G$4:$L$4,0))="x",FALSE())),Templates!$E$18,""))</f>
        <v>Light jacket / layer</v>
      </c>
      <c r="AN15" s="60" t="n">
        <f aca="false">IF(LEN(AM15)=0,"",SUMPRODUCT(--(LEN(AM$2:AM15)&gt;0)))</f>
        <v>14</v>
      </c>
      <c r="AO15" s="60" t="str">
        <f aca="false">IFERROR(INDEX(AM$2:AM$81,MATCH(ROW()-1,AN$2:AN$81,0)),"")</f>
        <v>Light jacket / layer</v>
      </c>
      <c r="BH15" s="60" t="n">
        <f aca="false">ROUND(MAX(0,MIN(BE3,BF5)-MAX(BE3-BC3,BF5-BD5)),0)</f>
        <v>0</v>
      </c>
      <c r="BI15" s="60" t="str">
        <f aca="false">IF(BH15&gt;=1,BA3&amp;" pays "&amp;BA5,"")</f>
        <v/>
      </c>
      <c r="BJ15" s="60" t="str">
        <f aca="false">IF(BI15="","",COUNTIF($BH$2:BH15,"&gt;=1"))</f>
        <v/>
      </c>
      <c r="BK15" s="60" t="str">
        <f aca="false">IFERROR(INDEX($BI$2:$BI$101,MATCH(14,$BJ$2:$BJ$101,0)),"")</f>
        <v/>
      </c>
      <c r="BL15" s="60" t="str">
        <f aca="false">IFERROR(INDEX($BH$2:$BH$101,MATCH(14,$BJ$2:$BJ$101,0)),"")</f>
        <v/>
      </c>
      <c r="CA15" s="60" t="n">
        <f aca="false">ROUND((0.015*(BR6+BS6+BT6+BU6))/HomeINR,-1)</f>
        <v>0</v>
      </c>
    </row>
    <row r="16" customFormat="false" ht="15" hidden="false" customHeight="false" outlineLevel="0" collapsed="false">
      <c r="A16" s="60" t="str">
        <f aca="false">IF(OR(TripStart="",TripDays="",14&gt;TripDays),"","Day 14 · "&amp;TEXT(TripStart+13,"ddd dd mmm"))</f>
        <v/>
      </c>
      <c r="C16" s="60" t="str">
        <f aca="false">IF(Setup!$B$26="","",Setup!$B$26)</f>
        <v/>
      </c>
      <c r="D16" s="60" t="str">
        <f aca="false">IF(LEN(C16)=0,"",SUMPRODUCT(--(LEN(C$2:C16)&gt;0)))</f>
        <v/>
      </c>
      <c r="E16" s="60" t="str">
        <f aca="false">IFERROR(INDEX(C$2:C$18,MATCH(ROW()-1,D$2:D$18,0)),"")</f>
        <v/>
      </c>
      <c r="O16" s="60" t="str">
        <f aca="false">IF(Contacts!$B$20="","",Contacts!$B$20)</f>
        <v/>
      </c>
      <c r="P16" s="60" t="str">
        <f aca="false">IF(LEN(O16)=0,"",SUMPRODUCT(--(LEN(O$2:O16)&gt;0)))</f>
        <v/>
      </c>
      <c r="Q16" s="60" t="str">
        <f aca="false">IFERROR(INDEX(O$2:O$41,MATCH(ROW()-1,P$2:P$41,0)),"")</f>
        <v/>
      </c>
      <c r="R16" s="60" t="str">
        <f aca="false">IF('Country Data'!$A$19="","",'Country Data'!$A$19)</f>
        <v>Azerbaijan</v>
      </c>
      <c r="S16" s="60" t="n">
        <f aca="false">IF(LEN(R16)=0,"",SUMPRODUCT(--(LEN(R$2:R16)&gt;0)))</f>
        <v>15</v>
      </c>
      <c r="T16" s="60" t="str">
        <f aca="false">IFERROR(INDEX(R$2:R$81,MATCH(ROW()-1,S$2:S$81,0)),"")</f>
        <v>Azerbaijan</v>
      </c>
      <c r="U16" s="60" t="str">
        <f aca="false">IF(Settings!$A$19="","",Settings!$A$19)</f>
        <v>Tips &amp; service</v>
      </c>
      <c r="V16" s="60" t="n">
        <f aca="false">IF(LEN(U16)=0,"",SUMPRODUCT(--(LEN(U$2:U16)&gt;0)))</f>
        <v>15</v>
      </c>
      <c r="W16" s="60" t="str">
        <f aca="false">IFERROR(INDEX(U$2:U$26,MATCH(ROW()-1,V$2:V$26,0)),"")</f>
        <v>Tips &amp; service</v>
      </c>
      <c r="X16" s="60" t="str">
        <f aca="false">IF(Settings!$D$19="","",Settings!$D$19)</f>
        <v/>
      </c>
      <c r="Y16" s="60" t="str">
        <f aca="false">IF(LEN(X16)=0,"",SUMPRODUCT(--(LEN(X$2:X16)&gt;0)))</f>
        <v/>
      </c>
      <c r="Z16" s="60" t="str">
        <f aca="false">IFERROR(INDEX(X$2:X$16,MATCH(ROW()-1,Y$2:Y$16,0)),"")</f>
        <v/>
      </c>
      <c r="AA16" s="60" t="str">
        <f aca="false">IF(Settings!$F$19="","",Settings!$F$19)</f>
        <v/>
      </c>
      <c r="AB16" s="60" t="str">
        <f aca="false">IF(LEN(AA16)=0,"",SUMPRODUCT(--(LEN(AA$2:AA16)&gt;0)))</f>
        <v/>
      </c>
      <c r="AC16" s="60" t="str">
        <f aca="false">IFERROR(INDEX(AA$2:AA$21,MATCH(ROW()-1,AB$2:AB$21,0)),"")</f>
        <v/>
      </c>
      <c r="AD16" s="60" t="str">
        <f aca="false">IF(Settings!$H$19="","",Settings!$H$19)</f>
        <v/>
      </c>
      <c r="AE16" s="60" t="str">
        <f aca="false">IF(LEN(AD16)=0,"",SUMPRODUCT(--(LEN(AD$2:AD16)&gt;0)))</f>
        <v/>
      </c>
      <c r="AF16" s="60" t="str">
        <f aca="false">IFERROR(INDEX(AD$2:AD$21,MATCH(ROW()-1,AE$2:AE$21,0)),"")</f>
        <v/>
      </c>
      <c r="AM16" s="60" t="str">
        <f aca="false">IF(Templates!$E$19="","",IF(OR(Templates!$F$19="x",IFERROR(INDEX(Templates!$G$19:$L$19,MATCH(TripType,Templates!$G$4:$L$4,0))="x",FALSE())),Templates!$E$19,""))</f>
        <v>Smart outfit for dinners</v>
      </c>
      <c r="AN16" s="60" t="n">
        <f aca="false">IF(LEN(AM16)=0,"",SUMPRODUCT(--(LEN(AM$2:AM16)&gt;0)))</f>
        <v>15</v>
      </c>
      <c r="AO16" s="60" t="str">
        <f aca="false">IFERROR(INDEX(AM$2:AM$81,MATCH(ROW()-1,AN$2:AN$81,0)),"")</f>
        <v>Smart outfit for dinners</v>
      </c>
      <c r="BH16" s="60" t="n">
        <f aca="false">ROUND(MAX(0,MIN(BE3,BF6)-MAX(BE3-BC3,BF6-BD6)),0)</f>
        <v>0</v>
      </c>
      <c r="BI16" s="60" t="str">
        <f aca="false">IF(BH16&gt;=1,BA3&amp;" pays "&amp;BA6,"")</f>
        <v/>
      </c>
      <c r="BJ16" s="60" t="str">
        <f aca="false">IF(BI16="","",COUNTIF($BH$2:BH16,"&gt;=1"))</f>
        <v/>
      </c>
      <c r="BK16" s="60" t="str">
        <f aca="false">IFERROR(INDEX($BI$2:$BI$101,MATCH(15,$BJ$2:$BJ$101,0)),"")</f>
        <v/>
      </c>
      <c r="BL16" s="60" t="str">
        <f aca="false">IFERROR(INDEX($BH$2:$BH$101,MATCH(15,$BJ$2:$BJ$101,0)),"")</f>
        <v/>
      </c>
      <c r="CA16" s="60" t="n">
        <f aca="false">ROUND((0.03*(BS6+BU6))/HomeINR,-1)</f>
        <v>0</v>
      </c>
    </row>
    <row r="17" customFormat="false" ht="15" hidden="false" customHeight="false" outlineLevel="0" collapsed="false">
      <c r="A17" s="60" t="str">
        <f aca="false">IF(OR(TripStart="",TripDays="",15&gt;TripDays),"","Day 15 · "&amp;TEXT(TripStart+14,"ddd dd mmm"))</f>
        <v/>
      </c>
      <c r="C17" s="60" t="str">
        <f aca="false">IF(Setup!$B$27="","",Setup!$B$27)</f>
        <v/>
      </c>
      <c r="D17" s="60" t="str">
        <f aca="false">IF(LEN(C17)=0,"",SUMPRODUCT(--(LEN(C$2:C17)&gt;0)))</f>
        <v/>
      </c>
      <c r="E17" s="60" t="str">
        <f aca="false">IFERROR(INDEX(C$2:C$18,MATCH(ROW()-1,D$2:D$18,0)),"")</f>
        <v/>
      </c>
      <c r="O17" s="60" t="str">
        <f aca="false">IF(Contacts!$B$21="","",Contacts!$B$21)</f>
        <v/>
      </c>
      <c r="P17" s="60" t="str">
        <f aca="false">IF(LEN(O17)=0,"",SUMPRODUCT(--(LEN(O$2:O17)&gt;0)))</f>
        <v/>
      </c>
      <c r="Q17" s="60" t="str">
        <f aca="false">IFERROR(INDEX(O$2:O$41,MATCH(ROW()-1,P$2:P$41,0)),"")</f>
        <v/>
      </c>
      <c r="R17" s="60" t="str">
        <f aca="false">IF('Country Data'!$A$20="","",'Country Data'!$A$20)</f>
        <v>Türkiye</v>
      </c>
      <c r="S17" s="60" t="n">
        <f aca="false">IF(LEN(R17)=0,"",SUMPRODUCT(--(LEN(R$2:R17)&gt;0)))</f>
        <v>16</v>
      </c>
      <c r="T17" s="60" t="str">
        <f aca="false">IFERROR(INDEX(R$2:R$81,MATCH(ROW()-1,S$2:S$81,0)),"")</f>
        <v>Türkiye</v>
      </c>
      <c r="U17" s="60" t="str">
        <f aca="false">IF(Settings!$A$20="","",Settings!$A$20)</f>
        <v>Health &amp; pharmacy</v>
      </c>
      <c r="V17" s="60" t="n">
        <f aca="false">IF(LEN(U17)=0,"",SUMPRODUCT(--(LEN(U$2:U17)&gt;0)))</f>
        <v>16</v>
      </c>
      <c r="W17" s="60" t="str">
        <f aca="false">IFERROR(INDEX(U$2:U$26,MATCH(ROW()-1,V$2:V$26,0)),"")</f>
        <v>Health &amp; pharmacy</v>
      </c>
      <c r="AA17" s="60" t="str">
        <f aca="false">IF(Settings!$F$20="","",Settings!$F$20)</f>
        <v/>
      </c>
      <c r="AB17" s="60" t="str">
        <f aca="false">IF(LEN(AA17)=0,"",SUMPRODUCT(--(LEN(AA$2:AA17)&gt;0)))</f>
        <v/>
      </c>
      <c r="AC17" s="60" t="str">
        <f aca="false">IFERROR(INDEX(AA$2:AA$21,MATCH(ROW()-1,AB$2:AB$21,0)),"")</f>
        <v/>
      </c>
      <c r="AD17" s="60" t="str">
        <f aca="false">IF(Settings!$H$20="","",Settings!$H$20)</f>
        <v/>
      </c>
      <c r="AE17" s="60" t="str">
        <f aca="false">IF(LEN(AD17)=0,"",SUMPRODUCT(--(LEN(AD$2:AD17)&gt;0)))</f>
        <v/>
      </c>
      <c r="AF17" s="60" t="str">
        <f aca="false">IFERROR(INDEX(AD$2:AD$21,MATCH(ROW()-1,AE$2:AE$21,0)),"")</f>
        <v/>
      </c>
      <c r="AM17" s="60" t="str">
        <f aca="false">IF(Templates!$E$20="","",IF(OR(Templates!$F$20="x",IFERROR(INDEX(Templates!$G$20:$L$20,MATCH(TripType,Templates!$G$4:$L$4,0))="x",FALSE())),Templates!$E$20,""))</f>
        <v/>
      </c>
      <c r="AN17" s="60" t="str">
        <f aca="false">IF(LEN(AM17)=0,"",SUMPRODUCT(--(LEN(AM$2:AM17)&gt;0)))</f>
        <v/>
      </c>
      <c r="AO17" s="60" t="str">
        <f aca="false">IFERROR(INDEX(AM$2:AM$81,MATCH(ROW()-1,AN$2:AN$81,0)),"")</f>
        <v>Offline maps downloaded</v>
      </c>
      <c r="BH17" s="60" t="n">
        <f aca="false">ROUND(MAX(0,MIN(BE3,BF7)-MAX(BE3-BC3,BF7-BD7)),0)</f>
        <v>0</v>
      </c>
      <c r="BI17" s="60" t="str">
        <f aca="false">IF(BH17&gt;=1,BA3&amp;" pays "&amp;BA7,"")</f>
        <v/>
      </c>
      <c r="BJ17" s="60" t="str">
        <f aca="false">IF(BI17="","",COUNTIF($BH$2:BH17,"&gt;=1"))</f>
        <v/>
      </c>
      <c r="BK17" s="60" t="str">
        <f aca="false">IFERROR(INDEX($BI$2:$BI$101,MATCH(16,$BJ$2:$BJ$101,0)),"")</f>
        <v/>
      </c>
      <c r="BL17" s="60" t="str">
        <f aca="false">IFERROR(INDEX($BH$2:$BH$101,MATCH(16,$BJ$2:$BJ$101,0)),"")</f>
        <v/>
      </c>
      <c r="CA17" s="60" t="n">
        <f aca="false">ROUND((IF(BN2="",0,300*$CC$3))/HomeINR,-1)</f>
        <v>0</v>
      </c>
    </row>
    <row r="18" customFormat="false" ht="15" hidden="false" customHeight="false" outlineLevel="0" collapsed="false">
      <c r="A18" s="60" t="str">
        <f aca="false">IF(OR(TripStart="",TripDays="",16&gt;TripDays),"","Day 16 · "&amp;TEXT(TripStart+15,"ddd dd mmm"))</f>
        <v/>
      </c>
      <c r="C18" s="167" t="s">
        <v>764</v>
      </c>
      <c r="D18" s="60" t="n">
        <f aca="false">IF(LEN(C18)=0,"",SUMPRODUCT(--(LEN(C$2:C18)&gt;0)))</f>
        <v>2</v>
      </c>
      <c r="E18" s="60" t="str">
        <f aca="false">IFERROR(INDEX(C$2:C$18,MATCH(ROW()-1,D$2:D$18,0)),"")</f>
        <v/>
      </c>
      <c r="O18" s="60" t="str">
        <f aca="false">IF(Contacts!$B$22="","",Contacts!$B$22)</f>
        <v/>
      </c>
      <c r="P18" s="60" t="str">
        <f aca="false">IF(LEN(O18)=0,"",SUMPRODUCT(--(LEN(O$2:O18)&gt;0)))</f>
        <v/>
      </c>
      <c r="Q18" s="60" t="str">
        <f aca="false">IFERROR(INDEX(O$2:O$41,MATCH(ROW()-1,P$2:P$41,0)),"")</f>
        <v/>
      </c>
      <c r="R18" s="60" t="str">
        <f aca="false">IF('Country Data'!$A$21="","",'Country Data'!$A$21)</f>
        <v>UAE</v>
      </c>
      <c r="S18" s="60" t="n">
        <f aca="false">IF(LEN(R18)=0,"",SUMPRODUCT(--(LEN(R$2:R18)&gt;0)))</f>
        <v>17</v>
      </c>
      <c r="T18" s="60" t="str">
        <f aca="false">IFERROR(INDEX(R$2:R$81,MATCH(ROW()-1,S$2:S$81,0)),"")</f>
        <v>UAE</v>
      </c>
      <c r="U18" s="60" t="str">
        <f aca="false">IF(Settings!$A$21="","",Settings!$A$21)</f>
        <v>Emergency / misc</v>
      </c>
      <c r="V18" s="60" t="n">
        <f aca="false">IF(LEN(U18)=0,"",SUMPRODUCT(--(LEN(U$2:U18)&gt;0)))</f>
        <v>17</v>
      </c>
      <c r="W18" s="60" t="str">
        <f aca="false">IFERROR(INDEX(U$2:U$26,MATCH(ROW()-1,V$2:V$26,0)),"")</f>
        <v>Emergency / misc</v>
      </c>
      <c r="AA18" s="60" t="str">
        <f aca="false">IF(Settings!$F$21="","",Settings!$F$21)</f>
        <v/>
      </c>
      <c r="AB18" s="60" t="str">
        <f aca="false">IF(LEN(AA18)=0,"",SUMPRODUCT(--(LEN(AA$2:AA18)&gt;0)))</f>
        <v/>
      </c>
      <c r="AC18" s="60" t="str">
        <f aca="false">IFERROR(INDEX(AA$2:AA$21,MATCH(ROW()-1,AB$2:AB$21,0)),"")</f>
        <v/>
      </c>
      <c r="AD18" s="60" t="str">
        <f aca="false">IF(Settings!$H$21="","",Settings!$H$21)</f>
        <v/>
      </c>
      <c r="AE18" s="60" t="str">
        <f aca="false">IF(LEN(AD18)=0,"",SUMPRODUCT(--(LEN(AD$2:AD18)&gt;0)))</f>
        <v/>
      </c>
      <c r="AF18" s="60" t="str">
        <f aca="false">IFERROR(INDEX(AD$2:AD$21,MATCH(ROW()-1,AE$2:AE$21,0)),"")</f>
        <v/>
      </c>
      <c r="AM18" s="60" t="str">
        <f aca="false">IF(Templates!$E$21="","",IF(OR(Templates!$F$21="x",IFERROR(INDEX(Templates!$G$21:$L$21,MATCH(TripType,Templates!$G$4:$L$4,0))="x",FALSE())),Templates!$E$21,""))</f>
        <v/>
      </c>
      <c r="AN18" s="60" t="str">
        <f aca="false">IF(LEN(AM18)=0,"",SUMPRODUCT(--(LEN(AM$2:AM18)&gt;0)))</f>
        <v/>
      </c>
      <c r="AO18" s="60" t="str">
        <f aca="false">IFERROR(INDEX(AM$2:AM$81,MATCH(ROW()-1,AN$2:AN$81,0)),"")</f>
        <v>Laundry bag</v>
      </c>
      <c r="BH18" s="60" t="n">
        <f aca="false">ROUND(MAX(0,MIN(BE3,BF8)-MAX(BE3-BC3,BF8-BD8)),0)</f>
        <v>0</v>
      </c>
      <c r="BI18" s="60" t="str">
        <f aca="false">IF(BH18&gt;=1,BA3&amp;" pays "&amp;BA8,"")</f>
        <v/>
      </c>
      <c r="BJ18" s="60" t="str">
        <f aca="false">IF(BI18="","",COUNTIF($BH$2:BH18,"&gt;=1"))</f>
        <v/>
      </c>
      <c r="BK18" s="60" t="str">
        <f aca="false">IFERROR(INDEX($BI$2:$BI$101,MATCH(17,$BJ$2:$BJ$101,0)),"")</f>
        <v/>
      </c>
      <c r="BL18" s="60" t="str">
        <f aca="false">IFERROR(INDEX($BH$2:$BH$101,MATCH(17,$BJ$2:$BJ$101,0)),"")</f>
        <v/>
      </c>
      <c r="CA18" s="60" t="n">
        <f aca="false">ROUND((0.04*SUM(CA2:CA17)*HomeINR)/HomeINR,-1)</f>
        <v>0</v>
      </c>
    </row>
    <row r="19" customFormat="false" ht="15" hidden="false" customHeight="false" outlineLevel="0" collapsed="false">
      <c r="A19" s="60" t="str">
        <f aca="false">IF(OR(TripStart="",TripDays="",17&gt;TripDays),"","Day 17 · "&amp;TEXT(TripStart+16,"ddd dd mmm"))</f>
        <v/>
      </c>
      <c r="O19" s="60" t="str">
        <f aca="false">IF(Contacts!$B$23="","",Contacts!$B$23)</f>
        <v/>
      </c>
      <c r="P19" s="60" t="str">
        <f aca="false">IF(LEN(O19)=0,"",SUMPRODUCT(--(LEN(O$2:O19)&gt;0)))</f>
        <v/>
      </c>
      <c r="Q19" s="60" t="str">
        <f aca="false">IFERROR(INDEX(O$2:O$41,MATCH(ROW()-1,P$2:P$41,0)),"")</f>
        <v/>
      </c>
      <c r="R19" s="60" t="str">
        <f aca="false">IF('Country Data'!$A$22="","",'Country Data'!$A$22)</f>
        <v>Oman</v>
      </c>
      <c r="S19" s="60" t="n">
        <f aca="false">IF(LEN(R19)=0,"",SUMPRODUCT(--(LEN(R$2:R19)&gt;0)))</f>
        <v>18</v>
      </c>
      <c r="T19" s="60" t="str">
        <f aca="false">IFERROR(INDEX(R$2:R$81,MATCH(ROW()-1,S$2:S$81,0)),"")</f>
        <v>Oman</v>
      </c>
      <c r="U19" s="60" t="str">
        <f aca="false">IF(Settings!$A$22="","",Settings!$A$22)</f>
        <v>Other</v>
      </c>
      <c r="V19" s="60" t="n">
        <f aca="false">IF(LEN(U19)=0,"",SUMPRODUCT(--(LEN(U$2:U19)&gt;0)))</f>
        <v>18</v>
      </c>
      <c r="W19" s="60" t="str">
        <f aca="false">IFERROR(INDEX(U$2:U$26,MATCH(ROW()-1,V$2:V$26,0)),"")</f>
        <v>Other</v>
      </c>
      <c r="AA19" s="60" t="str">
        <f aca="false">IF(Settings!$F$22="","",Settings!$F$22)</f>
        <v/>
      </c>
      <c r="AB19" s="60" t="str">
        <f aca="false">IF(LEN(AA19)=0,"",SUMPRODUCT(--(LEN(AA$2:AA19)&gt;0)))</f>
        <v/>
      </c>
      <c r="AC19" s="60" t="str">
        <f aca="false">IFERROR(INDEX(AA$2:AA$21,MATCH(ROW()-1,AB$2:AB$21,0)),"")</f>
        <v/>
      </c>
      <c r="AD19" s="60" t="str">
        <f aca="false">IF(Settings!$H$22="","",Settings!$H$22)</f>
        <v/>
      </c>
      <c r="AE19" s="60" t="str">
        <f aca="false">IF(LEN(AD19)=0,"",SUMPRODUCT(--(LEN(AD$2:AD19)&gt;0)))</f>
        <v/>
      </c>
      <c r="AF19" s="60" t="str">
        <f aca="false">IFERROR(INDEX(AD$2:AD$21,MATCH(ROW()-1,AE$2:AE$21,0)),"")</f>
        <v/>
      </c>
      <c r="AM19" s="60" t="str">
        <f aca="false">IF(Templates!$E$22="","",IF(OR(Templates!$F$22="x",IFERROR(INDEX(Templates!$G$22:$L$22,MATCH(TripType,Templates!$G$4:$L$4,0))="x",FALSE())),Templates!$E$22,""))</f>
        <v/>
      </c>
      <c r="AN19" s="60" t="str">
        <f aca="false">IF(LEN(AM19)=0,"",SUMPRODUCT(--(LEN(AM$2:AM19)&gt;0)))</f>
        <v/>
      </c>
      <c r="AO19" s="60" t="str">
        <f aca="false">IFERROR(INDEX(AM$2:AM$81,MATCH(ROW()-1,AN$2:AN$81,0)),"")</f>
        <v>Small padlock</v>
      </c>
      <c r="BH19" s="60" t="n">
        <f aca="false">ROUND(MAX(0,MIN(BE3,BF9)-MAX(BE3-BC3,BF9-BD9)),0)</f>
        <v>0</v>
      </c>
      <c r="BI19" s="60" t="str">
        <f aca="false">IF(BH19&gt;=1,BA3&amp;" pays "&amp;BA9,"")</f>
        <v/>
      </c>
      <c r="BJ19" s="60" t="str">
        <f aca="false">IF(BI19="","",COUNTIF($BH$2:BH19,"&gt;=1"))</f>
        <v/>
      </c>
      <c r="BK19" s="60" t="str">
        <f aca="false">IFERROR(INDEX($BI$2:$BI$101,MATCH(18,$BJ$2:$BJ$101,0)),"")</f>
        <v/>
      </c>
      <c r="BL19" s="60" t="str">
        <f aca="false">IFERROR(INDEX($BH$2:$BH$101,MATCH(18,$BJ$2:$BJ$101,0)),"")</f>
        <v/>
      </c>
      <c r="CA19" s="60" t="n">
        <f aca="false">ROUND((0)/HomeINR,-1)</f>
        <v>0</v>
      </c>
    </row>
    <row r="20" customFormat="false" ht="15" hidden="false" customHeight="false" outlineLevel="0" collapsed="false">
      <c r="A20" s="60" t="str">
        <f aca="false">IF(OR(TripStart="",TripDays="",18&gt;TripDays),"","Day 18 · "&amp;TEXT(TripStart+17,"ddd dd mmm"))</f>
        <v/>
      </c>
      <c r="O20" s="60" t="str">
        <f aca="false">IF(Contacts!$B$24="","",Contacts!$B$24)</f>
        <v/>
      </c>
      <c r="P20" s="60" t="str">
        <f aca="false">IF(LEN(O20)=0,"",SUMPRODUCT(--(LEN(O$2:O20)&gt;0)))</f>
        <v/>
      </c>
      <c r="Q20" s="60" t="str">
        <f aca="false">IFERROR(INDEX(O$2:O$41,MATCH(ROW()-1,P$2:P$41,0)),"")</f>
        <v/>
      </c>
      <c r="R20" s="60" t="str">
        <f aca="false">IF('Country Data'!$A$23="","",'Country Data'!$A$23)</f>
        <v>Qatar</v>
      </c>
      <c r="S20" s="60" t="n">
        <f aca="false">IF(LEN(R20)=0,"",SUMPRODUCT(--(LEN(R$2:R20)&gt;0)))</f>
        <v>19</v>
      </c>
      <c r="T20" s="60" t="str">
        <f aca="false">IFERROR(INDEX(R$2:R$81,MATCH(ROW()-1,S$2:S$81,0)),"")</f>
        <v>Qatar</v>
      </c>
      <c r="U20" s="60" t="str">
        <f aca="false">IF(Settings!$A$23="","",Settings!$A$23)</f>
        <v/>
      </c>
      <c r="V20" s="60" t="str">
        <f aca="false">IF(LEN(U20)=0,"",SUMPRODUCT(--(LEN(U$2:U20)&gt;0)))</f>
        <v/>
      </c>
      <c r="W20" s="60" t="str">
        <f aca="false">IFERROR(INDEX(U$2:U$26,MATCH(ROW()-1,V$2:V$26,0)),"")</f>
        <v/>
      </c>
      <c r="AA20" s="60" t="str">
        <f aca="false">IF(Settings!$F$23="","",Settings!$F$23)</f>
        <v/>
      </c>
      <c r="AB20" s="60" t="str">
        <f aca="false">IF(LEN(AA20)=0,"",SUMPRODUCT(--(LEN(AA$2:AA20)&gt;0)))</f>
        <v/>
      </c>
      <c r="AC20" s="60" t="str">
        <f aca="false">IFERROR(INDEX(AA$2:AA$21,MATCH(ROW()-1,AB$2:AB$21,0)),"")</f>
        <v/>
      </c>
      <c r="AD20" s="60" t="str">
        <f aca="false">IF(Settings!$H$23="","",Settings!$H$23)</f>
        <v/>
      </c>
      <c r="AE20" s="60" t="str">
        <f aca="false">IF(LEN(AD20)=0,"",SUMPRODUCT(--(LEN(AD$2:AD20)&gt;0)))</f>
        <v/>
      </c>
      <c r="AF20" s="60" t="str">
        <f aca="false">IFERROR(INDEX(AD$2:AD$21,MATCH(ROW()-1,AE$2:AE$21,0)),"")</f>
        <v/>
      </c>
      <c r="AM20" s="60" t="str">
        <f aca="false">IF(Templates!$E$23="","",IF(OR(Templates!$F$23="x",IFERROR(INDEX(Templates!$G$23:$L$23,MATCH(TripType,Templates!$G$4:$L$4,0))="x",FALSE())),Templates!$E$23,""))</f>
        <v/>
      </c>
      <c r="AN20" s="60" t="str">
        <f aca="false">IF(LEN(AM20)=0,"",SUMPRODUCT(--(LEN(AM$2:AM20)&gt;0)))</f>
        <v/>
      </c>
      <c r="AO20" s="60" t="str">
        <f aca="false">IFERROR(INDEX(AM$2:AM$81,MATCH(ROW()-1,AN$2:AN$81,0)),"")</f>
        <v/>
      </c>
      <c r="BH20" s="60" t="n">
        <f aca="false">ROUND(MAX(0,MIN(BE3,BF10)-MAX(BE3-BC3,BF10-BD10)),0)</f>
        <v>0</v>
      </c>
      <c r="BI20" s="60" t="str">
        <f aca="false">IF(BH20&gt;=1,BA3&amp;" pays "&amp;BA10,"")</f>
        <v/>
      </c>
      <c r="BJ20" s="60" t="str">
        <f aca="false">IF(BI20="","",COUNTIF($BH$2:BH20,"&gt;=1"))</f>
        <v/>
      </c>
      <c r="BK20" s="60" t="str">
        <f aca="false">IFERROR(INDEX($BI$2:$BI$101,MATCH(19,$BJ$2:$BJ$101,0)),"")</f>
        <v/>
      </c>
      <c r="BL20" s="60" t="str">
        <f aca="false">IFERROR(INDEX($BH$2:$BH$101,MATCH(19,$BJ$2:$BJ$101,0)),"")</f>
        <v/>
      </c>
      <c r="CA20" s="60" t="n">
        <f aca="false">ROUND((0)/HomeINR,-1)</f>
        <v>0</v>
      </c>
    </row>
    <row r="21" customFormat="false" ht="15" hidden="false" customHeight="false" outlineLevel="0" collapsed="false">
      <c r="A21" s="60" t="str">
        <f aca="false">IF(OR(TripStart="",TripDays="",19&gt;TripDays),"","Day 19 · "&amp;TEXT(TripStart+18,"ddd dd mmm"))</f>
        <v/>
      </c>
      <c r="O21" s="60" t="str">
        <f aca="false">IF(Contacts!$B$25="","",Contacts!$B$25)</f>
        <v/>
      </c>
      <c r="P21" s="60" t="str">
        <f aca="false">IF(LEN(O21)=0,"",SUMPRODUCT(--(LEN(O$2:O21)&gt;0)))</f>
        <v/>
      </c>
      <c r="Q21" s="60" t="str">
        <f aca="false">IFERROR(INDEX(O$2:O$41,MATCH(ROW()-1,P$2:P$41,0)),"")</f>
        <v/>
      </c>
      <c r="R21" s="60" t="str">
        <f aca="false">IF('Country Data'!$A$24="","",'Country Data'!$A$24)</f>
        <v>Saudi Arabia</v>
      </c>
      <c r="S21" s="60" t="n">
        <f aca="false">IF(LEN(R21)=0,"",SUMPRODUCT(--(LEN(R$2:R21)&gt;0)))</f>
        <v>20</v>
      </c>
      <c r="T21" s="60" t="str">
        <f aca="false">IFERROR(INDEX(R$2:R$81,MATCH(ROW()-1,S$2:S$81,0)),"")</f>
        <v>Saudi Arabia</v>
      </c>
      <c r="U21" s="60" t="str">
        <f aca="false">IF(Settings!$A$24="","",Settings!$A$24)</f>
        <v/>
      </c>
      <c r="V21" s="60" t="str">
        <f aca="false">IF(LEN(U21)=0,"",SUMPRODUCT(--(LEN(U$2:U21)&gt;0)))</f>
        <v/>
      </c>
      <c r="W21" s="60" t="str">
        <f aca="false">IFERROR(INDEX(U$2:U$26,MATCH(ROW()-1,V$2:V$26,0)),"")</f>
        <v/>
      </c>
      <c r="AA21" s="60" t="str">
        <f aca="false">IF(Settings!$F$24="","",Settings!$F$24)</f>
        <v/>
      </c>
      <c r="AB21" s="60" t="str">
        <f aca="false">IF(LEN(AA21)=0,"",SUMPRODUCT(--(LEN(AA$2:AA21)&gt;0)))</f>
        <v/>
      </c>
      <c r="AC21" s="60" t="str">
        <f aca="false">IFERROR(INDEX(AA$2:AA$21,MATCH(ROW()-1,AB$2:AB$21,0)),"")</f>
        <v/>
      </c>
      <c r="AD21" s="60" t="str">
        <f aca="false">IF(Settings!$H$24="","",Settings!$H$24)</f>
        <v/>
      </c>
      <c r="AE21" s="60" t="str">
        <f aca="false">IF(LEN(AD21)=0,"",SUMPRODUCT(--(LEN(AD$2:AD21)&gt;0)))</f>
        <v/>
      </c>
      <c r="AF21" s="60" t="str">
        <f aca="false">IFERROR(INDEX(AD$2:AD$21,MATCH(ROW()-1,AE$2:AE$21,0)),"")</f>
        <v/>
      </c>
      <c r="AM21" s="60" t="str">
        <f aca="false">IF(Templates!$E$24="","",IF(OR(Templates!$F$24="x",IFERROR(INDEX(Templates!$G$24:$L$24,MATCH(TripType,Templates!$G$4:$L$4,0))="x",FALSE())),Templates!$E$24,""))</f>
        <v/>
      </c>
      <c r="AN21" s="60" t="str">
        <f aca="false">IF(LEN(AM21)=0,"",SUMPRODUCT(--(LEN(AM$2:AM21)&gt;0)))</f>
        <v/>
      </c>
      <c r="AO21" s="60" t="str">
        <f aca="false">IFERROR(INDEX(AM$2:AM$81,MATCH(ROW()-1,AN$2:AN$81,0)),"")</f>
        <v/>
      </c>
      <c r="BH21" s="60" t="n">
        <f aca="false">ROUND(MAX(0,MIN(BE3,BF11)-MAX(BE3-BC3,BF11-BD11)),0)</f>
        <v>0</v>
      </c>
      <c r="BI21" s="60" t="str">
        <f aca="false">IF(BH21&gt;=1,BA3&amp;" pays "&amp;BA11,"")</f>
        <v/>
      </c>
      <c r="BJ21" s="60" t="str">
        <f aca="false">IF(BI21="","",COUNTIF($BH$2:BH21,"&gt;=1"))</f>
        <v/>
      </c>
      <c r="BK21" s="60" t="str">
        <f aca="false">IFERROR(INDEX($BI$2:$BI$101,MATCH(20,$BJ$2:$BJ$101,0)),"")</f>
        <v/>
      </c>
      <c r="BL21" s="60" t="str">
        <f aca="false">IFERROR(INDEX($BH$2:$BH$101,MATCH(20,$BJ$2:$BJ$101,0)),"")</f>
        <v/>
      </c>
      <c r="CA21" s="60" t="n">
        <f aca="false">ROUND((0)/HomeINR,-1)</f>
        <v>0</v>
      </c>
    </row>
    <row r="22" customFormat="false" ht="15" hidden="false" customHeight="false" outlineLevel="0" collapsed="false">
      <c r="A22" s="60" t="str">
        <f aca="false">IF(OR(TripStart="",TripDays="",20&gt;TripDays),"","Day 20 · "&amp;TEXT(TripStart+19,"ddd dd mmm"))</f>
        <v/>
      </c>
      <c r="O22" s="60" t="str">
        <f aca="false">IF(Contacts!$B$26="","",Contacts!$B$26)</f>
        <v/>
      </c>
      <c r="P22" s="60" t="str">
        <f aca="false">IF(LEN(O22)=0,"",SUMPRODUCT(--(LEN(O$2:O22)&gt;0)))</f>
        <v/>
      </c>
      <c r="Q22" s="60" t="str">
        <f aca="false">IFERROR(INDEX(O$2:O$41,MATCH(ROW()-1,P$2:P$41,0)),"")</f>
        <v/>
      </c>
      <c r="R22" s="60" t="str">
        <f aca="false">IF('Country Data'!$A$25="","",'Country Data'!$A$25)</f>
        <v>Egypt</v>
      </c>
      <c r="S22" s="60" t="n">
        <f aca="false">IF(LEN(R22)=0,"",SUMPRODUCT(--(LEN(R$2:R22)&gt;0)))</f>
        <v>21</v>
      </c>
      <c r="T22" s="60" t="str">
        <f aca="false">IFERROR(INDEX(R$2:R$81,MATCH(ROW()-1,S$2:S$81,0)),"")</f>
        <v>Egypt</v>
      </c>
      <c r="U22" s="60" t="str">
        <f aca="false">IF(Settings!$A$25="","",Settings!$A$25)</f>
        <v/>
      </c>
      <c r="V22" s="60" t="str">
        <f aca="false">IF(LEN(U22)=0,"",SUMPRODUCT(--(LEN(U$2:U22)&gt;0)))</f>
        <v/>
      </c>
      <c r="W22" s="60" t="str">
        <f aca="false">IFERROR(INDEX(U$2:U$26,MATCH(ROW()-1,V$2:V$26,0)),"")</f>
        <v/>
      </c>
      <c r="AM22" s="60" t="str">
        <f aca="false">IF(Templates!$E$25="","",IF(OR(Templates!$F$25="x",IFERROR(INDEX(Templates!$G$25:$L$25,MATCH(TripType,Templates!$G$4:$L$4,0))="x",FALSE())),Templates!$E$25,""))</f>
        <v/>
      </c>
      <c r="AN22" s="60" t="str">
        <f aca="false">IF(LEN(AM22)=0,"",SUMPRODUCT(--(LEN(AM$2:AM22)&gt;0)))</f>
        <v/>
      </c>
      <c r="AO22" s="60" t="str">
        <f aca="false">IFERROR(INDEX(AM$2:AM$81,MATCH(ROW()-1,AN$2:AN$81,0)),"")</f>
        <v/>
      </c>
      <c r="BH22" s="60" t="n">
        <f aca="false">ROUND(MAX(0,MIN(BE4,BF2)-MAX(BE4-BC4,BF2-BD2)),0)</f>
        <v>0</v>
      </c>
      <c r="BI22" s="60" t="str">
        <f aca="false">IF(BH22&gt;=1,BA4&amp;" pays "&amp;BA2,"")</f>
        <v/>
      </c>
      <c r="BJ22" s="60" t="str">
        <f aca="false">IF(BI22="","",COUNTIF($BH$2:BH22,"&gt;=1"))</f>
        <v/>
      </c>
      <c r="BK22" s="60" t="str">
        <f aca="false">IFERROR(INDEX($BI$2:$BI$101,MATCH(21,$BJ$2:$BJ$101,0)),"")</f>
        <v/>
      </c>
      <c r="BL22" s="60" t="str">
        <f aca="false">IFERROR(INDEX($BH$2:$BH$101,MATCH(21,$BJ$2:$BJ$101,0)),"")</f>
        <v/>
      </c>
      <c r="CA22" s="60" t="n">
        <f aca="false">ROUND((0)/HomeINR,-1)</f>
        <v>0</v>
      </c>
    </row>
    <row r="23" customFormat="false" ht="15" hidden="false" customHeight="false" outlineLevel="0" collapsed="false">
      <c r="A23" s="60" t="str">
        <f aca="false">IF(OR(TripStart="",TripDays="",21&gt;TripDays),"","Day 21 · "&amp;TEXT(TripStart+20,"ddd dd mmm"))</f>
        <v/>
      </c>
      <c r="O23" s="60" t="str">
        <f aca="false">IF(Contacts!$B$27="","",Contacts!$B$27)</f>
        <v/>
      </c>
      <c r="P23" s="60" t="str">
        <f aca="false">IF(LEN(O23)=0,"",SUMPRODUCT(--(LEN(O$2:O23)&gt;0)))</f>
        <v/>
      </c>
      <c r="Q23" s="60" t="str">
        <f aca="false">IFERROR(INDEX(O$2:O$41,MATCH(ROW()-1,P$2:P$41,0)),"")</f>
        <v/>
      </c>
      <c r="R23" s="60" t="str">
        <f aca="false">IF('Country Data'!$A$26="","",'Country Data'!$A$26)</f>
        <v>Mauritius</v>
      </c>
      <c r="S23" s="60" t="n">
        <f aca="false">IF(LEN(R23)=0,"",SUMPRODUCT(--(LEN(R$2:R23)&gt;0)))</f>
        <v>22</v>
      </c>
      <c r="T23" s="60" t="str">
        <f aca="false">IFERROR(INDEX(R$2:R$81,MATCH(ROW()-1,S$2:S$81,0)),"")</f>
        <v>Mauritius</v>
      </c>
      <c r="U23" s="60" t="str">
        <f aca="false">IF(Settings!$A$26="","",Settings!$A$26)</f>
        <v/>
      </c>
      <c r="V23" s="60" t="str">
        <f aca="false">IF(LEN(U23)=0,"",SUMPRODUCT(--(LEN(U$2:U23)&gt;0)))</f>
        <v/>
      </c>
      <c r="W23" s="60" t="str">
        <f aca="false">IFERROR(INDEX(U$2:U$26,MATCH(ROW()-1,V$2:V$26,0)),"")</f>
        <v/>
      </c>
      <c r="AM23" s="60" t="str">
        <f aca="false">IF(Templates!$E$26="","",IF(OR(Templates!$F$26="x",IFERROR(INDEX(Templates!$G$26:$L$26,MATCH(TripType,Templates!$G$4:$L$4,0))="x",FALSE())),Templates!$E$26,""))</f>
        <v/>
      </c>
      <c r="AN23" s="60" t="str">
        <f aca="false">IF(LEN(AM23)=0,"",SUMPRODUCT(--(LEN(AM$2:AM23)&gt;0)))</f>
        <v/>
      </c>
      <c r="AO23" s="60" t="str">
        <f aca="false">IFERROR(INDEX(AM$2:AM$81,MATCH(ROW()-1,AN$2:AN$81,0)),"")</f>
        <v/>
      </c>
      <c r="BH23" s="60" t="n">
        <f aca="false">ROUND(MAX(0,MIN(BE4,BF3)-MAX(BE4-BC4,BF3-BD3)),0)</f>
        <v>0</v>
      </c>
      <c r="BI23" s="60" t="str">
        <f aca="false">IF(BH23&gt;=1,BA4&amp;" pays "&amp;BA3,"")</f>
        <v/>
      </c>
      <c r="BJ23" s="60" t="str">
        <f aca="false">IF(BI23="","",COUNTIF($BH$2:BH23,"&gt;=1"))</f>
        <v/>
      </c>
      <c r="BK23" s="60" t="str">
        <f aca="false">IFERROR(INDEX($BI$2:$BI$101,MATCH(22,$BJ$2:$BJ$101,0)),"")</f>
        <v/>
      </c>
      <c r="BL23" s="60" t="str">
        <f aca="false">IFERROR(INDEX($BH$2:$BH$101,MATCH(22,$BJ$2:$BJ$101,0)),"")</f>
        <v/>
      </c>
      <c r="CA23" s="60" t="n">
        <f aca="false">ROUND((0)/HomeINR,-1)</f>
        <v>0</v>
      </c>
    </row>
    <row r="24" customFormat="false" ht="15" hidden="false" customHeight="false" outlineLevel="0" collapsed="false">
      <c r="A24" s="60" t="str">
        <f aca="false">IF(OR(TripStart="",TripDays="",22&gt;TripDays),"","Day 22 · "&amp;TEXT(TripStart+21,"ddd dd mmm"))</f>
        <v/>
      </c>
      <c r="O24" s="60" t="str">
        <f aca="false">IF(Contacts!$B$28="","",Contacts!$B$28)</f>
        <v/>
      </c>
      <c r="P24" s="60" t="str">
        <f aca="false">IF(LEN(O24)=0,"",SUMPRODUCT(--(LEN(O$2:O24)&gt;0)))</f>
        <v/>
      </c>
      <c r="Q24" s="60" t="str">
        <f aca="false">IFERROR(INDEX(O$2:O$41,MATCH(ROW()-1,P$2:P$41,0)),"")</f>
        <v/>
      </c>
      <c r="R24" s="60" t="str">
        <f aca="false">IF('Country Data'!$A$27="","",'Country Data'!$A$27)</f>
        <v>United Kingdom</v>
      </c>
      <c r="S24" s="60" t="n">
        <f aca="false">IF(LEN(R24)=0,"",SUMPRODUCT(--(LEN(R$2:R24)&gt;0)))</f>
        <v>23</v>
      </c>
      <c r="T24" s="60" t="str">
        <f aca="false">IFERROR(INDEX(R$2:R$81,MATCH(ROW()-1,S$2:S$81,0)),"")</f>
        <v>United Kingdom</v>
      </c>
      <c r="U24" s="60" t="str">
        <f aca="false">IF(Settings!$A$27="","",Settings!$A$27)</f>
        <v/>
      </c>
      <c r="V24" s="60" t="str">
        <f aca="false">IF(LEN(U24)=0,"",SUMPRODUCT(--(LEN(U$2:U24)&gt;0)))</f>
        <v/>
      </c>
      <c r="W24" s="60" t="str">
        <f aca="false">IFERROR(INDEX(U$2:U$26,MATCH(ROW()-1,V$2:V$26,0)),"")</f>
        <v/>
      </c>
      <c r="AM24" s="60" t="str">
        <f aca="false">IF(Templates!$E$27="","",IF(OR(Templates!$F$27="x",IFERROR(INDEX(Templates!$G$27:$L$27,MATCH(TripType,Templates!$G$4:$L$4,0))="x",FALSE())),Templates!$E$27,""))</f>
        <v/>
      </c>
      <c r="AN24" s="60" t="str">
        <f aca="false">IF(LEN(AM24)=0,"",SUMPRODUCT(--(LEN(AM$2:AM24)&gt;0)))</f>
        <v/>
      </c>
      <c r="AO24" s="60" t="str">
        <f aca="false">IFERROR(INDEX(AM$2:AM$81,MATCH(ROW()-1,AN$2:AN$81,0)),"")</f>
        <v/>
      </c>
      <c r="BH24" s="60" t="n">
        <f aca="false">ROUND(MAX(0,MIN(BE4,BF4)-MAX(BE4-BC4,BF4-BD4)),0)</f>
        <v>0</v>
      </c>
      <c r="BI24" s="60" t="str">
        <f aca="false">IF(BH24&gt;=1,BA4&amp;" pays "&amp;BA4,"")</f>
        <v/>
      </c>
      <c r="BJ24" s="60" t="str">
        <f aca="false">IF(BI24="","",COUNTIF($BH$2:BH24,"&gt;=1"))</f>
        <v/>
      </c>
      <c r="BK24" s="60" t="str">
        <f aca="false">IFERROR(INDEX($BI$2:$BI$101,MATCH(23,$BJ$2:$BJ$101,0)),"")</f>
        <v/>
      </c>
      <c r="BL24" s="60" t="str">
        <f aca="false">IFERROR(INDEX($BH$2:$BH$101,MATCH(23,$BJ$2:$BJ$101,0)),"")</f>
        <v/>
      </c>
      <c r="CA24" s="60" t="n">
        <f aca="false">ROUND((0)/HomeINR,-1)</f>
        <v>0</v>
      </c>
    </row>
    <row r="25" customFormat="false" ht="15" hidden="false" customHeight="false" outlineLevel="0" collapsed="false">
      <c r="A25" s="60" t="str">
        <f aca="false">IF(OR(TripStart="",TripDays="",23&gt;TripDays),"","Day 23 · "&amp;TEXT(TripStart+22,"ddd dd mmm"))</f>
        <v/>
      </c>
      <c r="O25" s="60" t="str">
        <f aca="false">IF(Contacts!$B$29="","",Contacts!$B$29)</f>
        <v/>
      </c>
      <c r="P25" s="60" t="str">
        <f aca="false">IF(LEN(O25)=0,"",SUMPRODUCT(--(LEN(O$2:O25)&gt;0)))</f>
        <v/>
      </c>
      <c r="Q25" s="60" t="str">
        <f aca="false">IFERROR(INDEX(O$2:O$41,MATCH(ROW()-1,P$2:P$41,0)),"")</f>
        <v/>
      </c>
      <c r="R25" s="60" t="str">
        <f aca="false">IF('Country Data'!$A$28="","",'Country Data'!$A$28)</f>
        <v>France</v>
      </c>
      <c r="S25" s="60" t="n">
        <f aca="false">IF(LEN(R25)=0,"",SUMPRODUCT(--(LEN(R$2:R25)&gt;0)))</f>
        <v>24</v>
      </c>
      <c r="T25" s="60" t="str">
        <f aca="false">IFERROR(INDEX(R$2:R$81,MATCH(ROW()-1,S$2:S$81,0)),"")</f>
        <v>France</v>
      </c>
      <c r="U25" s="60" t="str">
        <f aca="false">IF(Settings!$A$28="","",Settings!$A$28)</f>
        <v/>
      </c>
      <c r="V25" s="60" t="str">
        <f aca="false">IF(LEN(U25)=0,"",SUMPRODUCT(--(LEN(U$2:U25)&gt;0)))</f>
        <v/>
      </c>
      <c r="W25" s="60" t="str">
        <f aca="false">IFERROR(INDEX(U$2:U$26,MATCH(ROW()-1,V$2:V$26,0)),"")</f>
        <v/>
      </c>
      <c r="AM25" s="60" t="str">
        <f aca="false">IF(Templates!$E$28="","",IF(OR(Templates!$F$28="x",IFERROR(INDEX(Templates!$G$28:$L$28,MATCH(TripType,Templates!$G$4:$L$4,0))="x",FALSE())),Templates!$E$28,""))</f>
        <v/>
      </c>
      <c r="AN25" s="60" t="str">
        <f aca="false">IF(LEN(AM25)=0,"",SUMPRODUCT(--(LEN(AM$2:AM25)&gt;0)))</f>
        <v/>
      </c>
      <c r="AO25" s="60" t="str">
        <f aca="false">IFERROR(INDEX(AM$2:AM$81,MATCH(ROW()-1,AN$2:AN$81,0)),"")</f>
        <v/>
      </c>
      <c r="BH25" s="60" t="n">
        <f aca="false">ROUND(MAX(0,MIN(BE4,BF5)-MAX(BE4-BC4,BF5-BD5)),0)</f>
        <v>0</v>
      </c>
      <c r="BI25" s="60" t="str">
        <f aca="false">IF(BH25&gt;=1,BA4&amp;" pays "&amp;BA5,"")</f>
        <v/>
      </c>
      <c r="BJ25" s="60" t="str">
        <f aca="false">IF(BI25="","",COUNTIF($BH$2:BH25,"&gt;=1"))</f>
        <v/>
      </c>
      <c r="BK25" s="60" t="str">
        <f aca="false">IFERROR(INDEX($BI$2:$BI$101,MATCH(24,$BJ$2:$BJ$101,0)),"")</f>
        <v/>
      </c>
      <c r="BL25" s="60" t="str">
        <f aca="false">IFERROR(INDEX($BH$2:$BH$101,MATCH(24,$BJ$2:$BJ$101,0)),"")</f>
        <v/>
      </c>
      <c r="CA25" s="60" t="n">
        <f aca="false">ROUND((0)/HomeINR,-1)</f>
        <v>0</v>
      </c>
    </row>
    <row r="26" customFormat="false" ht="15" hidden="false" customHeight="false" outlineLevel="0" collapsed="false">
      <c r="A26" s="60" t="str">
        <f aca="false">IF(OR(TripStart="",TripDays="",24&gt;TripDays),"","Day 24 · "&amp;TEXT(TripStart+23,"ddd dd mmm"))</f>
        <v/>
      </c>
      <c r="O26" s="60" t="str">
        <f aca="false">IF(Contacts!$B$30="","",Contacts!$B$30)</f>
        <v/>
      </c>
      <c r="P26" s="60" t="str">
        <f aca="false">IF(LEN(O26)=0,"",SUMPRODUCT(--(LEN(O$2:O26)&gt;0)))</f>
        <v/>
      </c>
      <c r="Q26" s="60" t="str">
        <f aca="false">IFERROR(INDEX(O$2:O$41,MATCH(ROW()-1,P$2:P$41,0)),"")</f>
        <v/>
      </c>
      <c r="R26" s="60" t="str">
        <f aca="false">IF('Country Data'!$A$29="","",'Country Data'!$A$29)</f>
        <v>Italy</v>
      </c>
      <c r="S26" s="60" t="n">
        <f aca="false">IF(LEN(R26)=0,"",SUMPRODUCT(--(LEN(R$2:R26)&gt;0)))</f>
        <v>25</v>
      </c>
      <c r="T26" s="60" t="str">
        <f aca="false">IFERROR(INDEX(R$2:R$81,MATCH(ROW()-1,S$2:S$81,0)),"")</f>
        <v>Italy</v>
      </c>
      <c r="U26" s="60" t="str">
        <f aca="false">IF(Settings!$A$29="","",Settings!$A$29)</f>
        <v/>
      </c>
      <c r="V26" s="60" t="str">
        <f aca="false">IF(LEN(U26)=0,"",SUMPRODUCT(--(LEN(U$2:U26)&gt;0)))</f>
        <v/>
      </c>
      <c r="W26" s="60" t="str">
        <f aca="false">IFERROR(INDEX(U$2:U$26,MATCH(ROW()-1,V$2:V$26,0)),"")</f>
        <v/>
      </c>
      <c r="AM26" s="60" t="str">
        <f aca="false">IF(Templates!$E$29="","",IF(OR(Templates!$F$29="x",IFERROR(INDEX(Templates!$G$29:$L$29,MATCH(TripType,Templates!$G$4:$L$4,0))="x",FALSE())),Templates!$E$29,""))</f>
        <v/>
      </c>
      <c r="AN26" s="60" t="str">
        <f aca="false">IF(LEN(AM26)=0,"",SUMPRODUCT(--(LEN(AM$2:AM26)&gt;0)))</f>
        <v/>
      </c>
      <c r="AO26" s="60" t="str">
        <f aca="false">IFERROR(INDEX(AM$2:AM$81,MATCH(ROW()-1,AN$2:AN$81,0)),"")</f>
        <v/>
      </c>
      <c r="BH26" s="60" t="n">
        <f aca="false">ROUND(MAX(0,MIN(BE4,BF6)-MAX(BE4-BC4,BF6-BD6)),0)</f>
        <v>0</v>
      </c>
      <c r="BI26" s="60" t="str">
        <f aca="false">IF(BH26&gt;=1,BA4&amp;" pays "&amp;BA6,"")</f>
        <v/>
      </c>
      <c r="BJ26" s="60" t="str">
        <f aca="false">IF(BI26="","",COUNTIF($BH$2:BH26,"&gt;=1"))</f>
        <v/>
      </c>
      <c r="BK26" s="60" t="str">
        <f aca="false">IFERROR(INDEX($BI$2:$BI$101,MATCH(25,$BJ$2:$BJ$101,0)),"")</f>
        <v/>
      </c>
      <c r="BL26" s="60" t="str">
        <f aca="false">IFERROR(INDEX($BH$2:$BH$101,MATCH(25,$BJ$2:$BJ$101,0)),"")</f>
        <v/>
      </c>
      <c r="CA26" s="60" t="n">
        <f aca="false">ROUND((0)/HomeINR,-1)</f>
        <v>0</v>
      </c>
    </row>
    <row r="27" customFormat="false" ht="15" hidden="false" customHeight="false" outlineLevel="0" collapsed="false">
      <c r="A27" s="60" t="str">
        <f aca="false">IF(OR(TripStart="",TripDays="",25&gt;TripDays),"","Day 25 · "&amp;TEXT(TripStart+24,"ddd dd mmm"))</f>
        <v/>
      </c>
      <c r="O27" s="60" t="str">
        <f aca="false">IF(Contacts!$B$31="","",Contacts!$B$31)</f>
        <v/>
      </c>
      <c r="P27" s="60" t="str">
        <f aca="false">IF(LEN(O27)=0,"",SUMPRODUCT(--(LEN(O$2:O27)&gt;0)))</f>
        <v/>
      </c>
      <c r="Q27" s="60" t="str">
        <f aca="false">IFERROR(INDEX(O$2:O$41,MATCH(ROW()-1,P$2:P$41,0)),"")</f>
        <v/>
      </c>
      <c r="R27" s="60" t="str">
        <f aca="false">IF('Country Data'!$A$30="","",'Country Data'!$A$30)</f>
        <v>Switzerland</v>
      </c>
      <c r="S27" s="60" t="n">
        <f aca="false">IF(LEN(R27)=0,"",SUMPRODUCT(--(LEN(R$2:R27)&gt;0)))</f>
        <v>26</v>
      </c>
      <c r="T27" s="60" t="str">
        <f aca="false">IFERROR(INDEX(R$2:R$81,MATCH(ROW()-1,S$2:S$81,0)),"")</f>
        <v>Switzerland</v>
      </c>
      <c r="AM27" s="60" t="str">
        <f aca="false">IF(Templates!$E$30="","",IF(OR(Templates!$F$30="x",IFERROR(INDEX(Templates!$G$30:$L$30,MATCH(TripType,Templates!$G$4:$L$4,0))="x",FALSE())),Templates!$E$30,""))</f>
        <v/>
      </c>
      <c r="AN27" s="60" t="str">
        <f aca="false">IF(LEN(AM27)=0,"",SUMPRODUCT(--(LEN(AM$2:AM27)&gt;0)))</f>
        <v/>
      </c>
      <c r="AO27" s="60" t="str">
        <f aca="false">IFERROR(INDEX(AM$2:AM$81,MATCH(ROW()-1,AN$2:AN$81,0)),"")</f>
        <v/>
      </c>
      <c r="BH27" s="60" t="n">
        <f aca="false">ROUND(MAX(0,MIN(BE4,BF7)-MAX(BE4-BC4,BF7-BD7)),0)</f>
        <v>0</v>
      </c>
      <c r="BI27" s="60" t="str">
        <f aca="false">IF(BH27&gt;=1,BA4&amp;" pays "&amp;BA7,"")</f>
        <v/>
      </c>
      <c r="BJ27" s="60" t="str">
        <f aca="false">IF(BI27="","",COUNTIF($BH$2:BH27,"&gt;=1"))</f>
        <v/>
      </c>
      <c r="BK27" s="60" t="str">
        <f aca="false">IFERROR(INDEX($BI$2:$BI$101,MATCH(26,$BJ$2:$BJ$101,0)),"")</f>
        <v/>
      </c>
      <c r="BL27" s="60" t="str">
        <f aca="false">IFERROR(INDEX($BH$2:$BH$101,MATCH(26,$BJ$2:$BJ$101,0)),"")</f>
        <v/>
      </c>
    </row>
    <row r="28" customFormat="false" ht="15" hidden="false" customHeight="false" outlineLevel="0" collapsed="false">
      <c r="A28" s="60" t="str">
        <f aca="false">IF(OR(TripStart="",TripDays="",26&gt;TripDays),"","Day 26 · "&amp;TEXT(TripStart+25,"ddd dd mmm"))</f>
        <v/>
      </c>
      <c r="O28" s="60" t="str">
        <f aca="false">IF(Contacts!$B$32="","",Contacts!$B$32)</f>
        <v/>
      </c>
      <c r="P28" s="60" t="str">
        <f aca="false">IF(LEN(O28)=0,"",SUMPRODUCT(--(LEN(O$2:O28)&gt;0)))</f>
        <v/>
      </c>
      <c r="Q28" s="60" t="str">
        <f aca="false">IFERROR(INDEX(O$2:O$41,MATCH(ROW()-1,P$2:P$41,0)),"")</f>
        <v/>
      </c>
      <c r="R28" s="60" t="str">
        <f aca="false">IF('Country Data'!$A$31="","",'Country Data'!$A$31)</f>
        <v>Germany</v>
      </c>
      <c r="S28" s="60" t="n">
        <f aca="false">IF(LEN(R28)=0,"",SUMPRODUCT(--(LEN(R$2:R28)&gt;0)))</f>
        <v>27</v>
      </c>
      <c r="T28" s="60" t="str">
        <f aca="false">IFERROR(INDEX(R$2:R$81,MATCH(ROW()-1,S$2:S$81,0)),"")</f>
        <v>Germany</v>
      </c>
      <c r="AM28" s="60" t="str">
        <f aca="false">IF(Templates!$E$31="","",IF(OR(Templates!$F$31="x",IFERROR(INDEX(Templates!$G$31:$L$31,MATCH(TripType,Templates!$G$4:$L$4,0))="x",FALSE())),Templates!$E$31,""))</f>
        <v/>
      </c>
      <c r="AN28" s="60" t="str">
        <f aca="false">IF(LEN(AM28)=0,"",SUMPRODUCT(--(LEN(AM$2:AM28)&gt;0)))</f>
        <v/>
      </c>
      <c r="AO28" s="60" t="str">
        <f aca="false">IFERROR(INDEX(AM$2:AM$81,MATCH(ROW()-1,AN$2:AN$81,0)),"")</f>
        <v/>
      </c>
      <c r="BH28" s="60" t="n">
        <f aca="false">ROUND(MAX(0,MIN(BE4,BF8)-MAX(BE4-BC4,BF8-BD8)),0)</f>
        <v>0</v>
      </c>
      <c r="BI28" s="60" t="str">
        <f aca="false">IF(BH28&gt;=1,BA4&amp;" pays "&amp;BA8,"")</f>
        <v/>
      </c>
      <c r="BJ28" s="60" t="str">
        <f aca="false">IF(BI28="","",COUNTIF($BH$2:BH28,"&gt;=1"))</f>
        <v/>
      </c>
      <c r="BK28" s="60" t="str">
        <f aca="false">IFERROR(INDEX($BI$2:$BI$101,MATCH(27,$BJ$2:$BJ$101,0)),"")</f>
        <v/>
      </c>
      <c r="BL28" s="60" t="str">
        <f aca="false">IFERROR(INDEX($BH$2:$BH$101,MATCH(27,$BJ$2:$BJ$101,0)),"")</f>
        <v/>
      </c>
    </row>
    <row r="29" customFormat="false" ht="15" hidden="false" customHeight="false" outlineLevel="0" collapsed="false">
      <c r="A29" s="60" t="str">
        <f aca="false">IF(OR(TripStart="",TripDays="",27&gt;TripDays),"","Day 27 · "&amp;TEXT(TripStart+26,"ddd dd mmm"))</f>
        <v/>
      </c>
      <c r="O29" s="60" t="str">
        <f aca="false">IF(Contacts!$B$33="","",Contacts!$B$33)</f>
        <v/>
      </c>
      <c r="P29" s="60" t="str">
        <f aca="false">IF(LEN(O29)=0,"",SUMPRODUCT(--(LEN(O$2:O29)&gt;0)))</f>
        <v/>
      </c>
      <c r="Q29" s="60" t="str">
        <f aca="false">IFERROR(INDEX(O$2:O$41,MATCH(ROW()-1,P$2:P$41,0)),"")</f>
        <v/>
      </c>
      <c r="R29" s="60" t="str">
        <f aca="false">IF('Country Data'!$A$32="","",'Country Data'!$A$32)</f>
        <v>Netherlands</v>
      </c>
      <c r="S29" s="60" t="n">
        <f aca="false">IF(LEN(R29)=0,"",SUMPRODUCT(--(LEN(R$2:R29)&gt;0)))</f>
        <v>28</v>
      </c>
      <c r="T29" s="60" t="str">
        <f aca="false">IFERROR(INDEX(R$2:R$81,MATCH(ROW()-1,S$2:S$81,0)),"")</f>
        <v>Netherlands</v>
      </c>
      <c r="AM29" s="60" t="str">
        <f aca="false">IF(Templates!$E$32="","",IF(OR(Templates!$F$32="x",IFERROR(INDEX(Templates!$G$32:$L$32,MATCH(TripType,Templates!$G$4:$L$4,0))="x",FALSE())),Templates!$E$32,""))</f>
        <v/>
      </c>
      <c r="AN29" s="60" t="str">
        <f aca="false">IF(LEN(AM29)=0,"",SUMPRODUCT(--(LEN(AM$2:AM29)&gt;0)))</f>
        <v/>
      </c>
      <c r="AO29" s="60" t="str">
        <f aca="false">IFERROR(INDEX(AM$2:AM$81,MATCH(ROW()-1,AN$2:AN$81,0)),"")</f>
        <v/>
      </c>
      <c r="BH29" s="60" t="n">
        <f aca="false">ROUND(MAX(0,MIN(BE4,BF9)-MAX(BE4-BC4,BF9-BD9)),0)</f>
        <v>0</v>
      </c>
      <c r="BI29" s="60" t="str">
        <f aca="false">IF(BH29&gt;=1,BA4&amp;" pays "&amp;BA9,"")</f>
        <v/>
      </c>
      <c r="BJ29" s="60" t="str">
        <f aca="false">IF(BI29="","",COUNTIF($BH$2:BH29,"&gt;=1"))</f>
        <v/>
      </c>
      <c r="BK29" s="60" t="str">
        <f aca="false">IFERROR(INDEX($BI$2:$BI$101,MATCH(28,$BJ$2:$BJ$101,0)),"")</f>
        <v/>
      </c>
      <c r="BL29" s="60" t="str">
        <f aca="false">IFERROR(INDEX($BH$2:$BH$101,MATCH(28,$BJ$2:$BJ$101,0)),"")</f>
        <v/>
      </c>
    </row>
    <row r="30" customFormat="false" ht="15" hidden="false" customHeight="false" outlineLevel="0" collapsed="false">
      <c r="A30" s="60" t="str">
        <f aca="false">IF(OR(TripStart="",TripDays="",28&gt;TripDays),"","Day 28 · "&amp;TEXT(TripStart+27,"ddd dd mmm"))</f>
        <v/>
      </c>
      <c r="O30" s="60" t="str">
        <f aca="false">IF(Contacts!$B$34="","",Contacts!$B$34)</f>
        <v/>
      </c>
      <c r="P30" s="60" t="str">
        <f aca="false">IF(LEN(O30)=0,"",SUMPRODUCT(--(LEN(O$2:O30)&gt;0)))</f>
        <v/>
      </c>
      <c r="Q30" s="60" t="str">
        <f aca="false">IFERROR(INDEX(O$2:O$41,MATCH(ROW()-1,P$2:P$41,0)),"")</f>
        <v/>
      </c>
      <c r="R30" s="60" t="str">
        <f aca="false">IF('Country Data'!$A$33="","",'Country Data'!$A$33)</f>
        <v>Spain</v>
      </c>
      <c r="S30" s="60" t="n">
        <f aca="false">IF(LEN(R30)=0,"",SUMPRODUCT(--(LEN(R$2:R30)&gt;0)))</f>
        <v>29</v>
      </c>
      <c r="T30" s="60" t="str">
        <f aca="false">IFERROR(INDEX(R$2:R$81,MATCH(ROW()-1,S$2:S$81,0)),"")</f>
        <v>Spain</v>
      </c>
      <c r="AM30" s="60" t="str">
        <f aca="false">IF(Templates!$E$33="","",IF(OR(Templates!$F$33="x",IFERROR(INDEX(Templates!$G$33:$L$33,MATCH(TripType,Templates!$G$4:$L$4,0))="x",FALSE())),Templates!$E$33,""))</f>
        <v>Offline maps downloaded</v>
      </c>
      <c r="AN30" s="60" t="n">
        <f aca="false">IF(LEN(AM30)=0,"",SUMPRODUCT(--(LEN(AM$2:AM30)&gt;0)))</f>
        <v>16</v>
      </c>
      <c r="AO30" s="60" t="str">
        <f aca="false">IFERROR(INDEX(AM$2:AM$81,MATCH(ROW()-1,AN$2:AN$81,0)),"")</f>
        <v/>
      </c>
      <c r="BH30" s="60" t="n">
        <f aca="false">ROUND(MAX(0,MIN(BE4,BF10)-MAX(BE4-BC4,BF10-BD10)),0)</f>
        <v>0</v>
      </c>
      <c r="BI30" s="60" t="str">
        <f aca="false">IF(BH30&gt;=1,BA4&amp;" pays "&amp;BA10,"")</f>
        <v/>
      </c>
      <c r="BJ30" s="60" t="str">
        <f aca="false">IF(BI30="","",COUNTIF($BH$2:BH30,"&gt;=1"))</f>
        <v/>
      </c>
      <c r="BK30" s="60" t="str">
        <f aca="false">IFERROR(INDEX($BI$2:$BI$101,MATCH(29,$BJ$2:$BJ$101,0)),"")</f>
        <v/>
      </c>
      <c r="BL30" s="60" t="str">
        <f aca="false">IFERROR(INDEX($BH$2:$BH$101,MATCH(29,$BJ$2:$BJ$101,0)),"")</f>
        <v/>
      </c>
    </row>
    <row r="31" customFormat="false" ht="15" hidden="false" customHeight="false" outlineLevel="0" collapsed="false">
      <c r="A31" s="60" t="str">
        <f aca="false">IF(OR(TripStart="",TripDays="",29&gt;TripDays),"","Day 29 · "&amp;TEXT(TripStart+28,"ddd dd mmm"))</f>
        <v/>
      </c>
      <c r="O31" s="60" t="str">
        <f aca="false">IF(Contacts!$B$35="","",Contacts!$B$35)</f>
        <v/>
      </c>
      <c r="P31" s="60" t="str">
        <f aca="false">IF(LEN(O31)=0,"",SUMPRODUCT(--(LEN(O$2:O31)&gt;0)))</f>
        <v/>
      </c>
      <c r="Q31" s="60" t="str">
        <f aca="false">IFERROR(INDEX(O$2:O$41,MATCH(ROW()-1,P$2:P$41,0)),"")</f>
        <v/>
      </c>
      <c r="R31" s="60" t="str">
        <f aca="false">IF('Country Data'!$A$34="","",'Country Data'!$A$34)</f>
        <v>Portugal</v>
      </c>
      <c r="S31" s="60" t="n">
        <f aca="false">IF(LEN(R31)=0,"",SUMPRODUCT(--(LEN(R$2:R31)&gt;0)))</f>
        <v>30</v>
      </c>
      <c r="T31" s="60" t="str">
        <f aca="false">IFERROR(INDEX(R$2:R$81,MATCH(ROW()-1,S$2:S$81,0)),"")</f>
        <v>Portugal</v>
      </c>
      <c r="AM31" s="60" t="str">
        <f aca="false">IF(Templates!$E$34="","",IF(OR(Templates!$F$34="x",IFERROR(INDEX(Templates!$G$34:$L$34,MATCH(TripType,Templates!$G$4:$L$4,0))="x",FALSE())),Templates!$E$34,""))</f>
        <v/>
      </c>
      <c r="AN31" s="60" t="str">
        <f aca="false">IF(LEN(AM31)=0,"",SUMPRODUCT(--(LEN(AM$2:AM31)&gt;0)))</f>
        <v/>
      </c>
      <c r="AO31" s="60" t="str">
        <f aca="false">IFERROR(INDEX(AM$2:AM$81,MATCH(ROW()-1,AN$2:AN$81,0)),"")</f>
        <v/>
      </c>
      <c r="BH31" s="60" t="n">
        <f aca="false">ROUND(MAX(0,MIN(BE4,BF11)-MAX(BE4-BC4,BF11-BD11)),0)</f>
        <v>0</v>
      </c>
      <c r="BI31" s="60" t="str">
        <f aca="false">IF(BH31&gt;=1,BA4&amp;" pays "&amp;BA11,"")</f>
        <v/>
      </c>
      <c r="BJ31" s="60" t="str">
        <f aca="false">IF(BI31="","",COUNTIF($BH$2:BH31,"&gt;=1"))</f>
        <v/>
      </c>
      <c r="BK31" s="60" t="str">
        <f aca="false">IFERROR(INDEX($BI$2:$BI$101,MATCH(30,$BJ$2:$BJ$101,0)),"")</f>
        <v/>
      </c>
      <c r="BL31" s="60" t="str">
        <f aca="false">IFERROR(INDEX($BH$2:$BH$101,MATCH(30,$BJ$2:$BJ$101,0)),"")</f>
        <v/>
      </c>
    </row>
    <row r="32" customFormat="false" ht="15" hidden="false" customHeight="false" outlineLevel="0" collapsed="false">
      <c r="A32" s="60" t="str">
        <f aca="false">IF(OR(TripStart="",TripDays="",30&gt;TripDays),"","Day 30 · "&amp;TEXT(TripStart+29,"ddd dd mmm"))</f>
        <v/>
      </c>
      <c r="O32" s="60" t="str">
        <f aca="false">IF(Contacts!$B$36="","",Contacts!$B$36)</f>
        <v/>
      </c>
      <c r="P32" s="60" t="str">
        <f aca="false">IF(LEN(O32)=0,"",SUMPRODUCT(--(LEN(O$2:O32)&gt;0)))</f>
        <v/>
      </c>
      <c r="Q32" s="60" t="str">
        <f aca="false">IFERROR(INDEX(O$2:O$41,MATCH(ROW()-1,P$2:P$41,0)),"")</f>
        <v/>
      </c>
      <c r="R32" s="60" t="str">
        <f aca="false">IF('Country Data'!$A$35="","",'Country Data'!$A$35)</f>
        <v>Greece</v>
      </c>
      <c r="S32" s="60" t="n">
        <f aca="false">IF(LEN(R32)=0,"",SUMPRODUCT(--(LEN(R$2:R32)&gt;0)))</f>
        <v>31</v>
      </c>
      <c r="T32" s="60" t="str">
        <f aca="false">IFERROR(INDEX(R$2:R$81,MATCH(ROW()-1,S$2:S$81,0)),"")</f>
        <v>Greece</v>
      </c>
      <c r="AM32" s="60" t="str">
        <f aca="false">IF(Templates!$E$35="","",IF(OR(Templates!$F$35="x",IFERROR(INDEX(Templates!$G$35:$L$35,MATCH(TripType,Templates!$G$4:$L$4,0))="x",FALSE())),Templates!$E$35,""))</f>
        <v/>
      </c>
      <c r="AN32" s="60" t="str">
        <f aca="false">IF(LEN(AM32)=0,"",SUMPRODUCT(--(LEN(AM$2:AM32)&gt;0)))</f>
        <v/>
      </c>
      <c r="AO32" s="60" t="str">
        <f aca="false">IFERROR(INDEX(AM$2:AM$81,MATCH(ROW()-1,AN$2:AN$81,0)),"")</f>
        <v/>
      </c>
      <c r="BH32" s="60" t="n">
        <f aca="false">ROUND(MAX(0,MIN(BE5,BF2)-MAX(BE5-BC5,BF2-BD2)),0)</f>
        <v>0</v>
      </c>
      <c r="BI32" s="60" t="str">
        <f aca="false">IF(BH32&gt;=1,BA5&amp;" pays "&amp;BA2,"")</f>
        <v/>
      </c>
      <c r="BJ32" s="60" t="str">
        <f aca="false">IF(BI32="","",COUNTIF($BH$2:BH32,"&gt;=1"))</f>
        <v/>
      </c>
      <c r="BK32" s="60" t="str">
        <f aca="false">IFERROR(INDEX($BI$2:$BI$101,MATCH(31,$BJ$2:$BJ$101,0)),"")</f>
        <v/>
      </c>
      <c r="BL32" s="60" t="str">
        <f aca="false">IFERROR(INDEX($BH$2:$BH$101,MATCH(31,$BJ$2:$BJ$101,0)),"")</f>
        <v/>
      </c>
    </row>
    <row r="33" customFormat="false" ht="15" hidden="false" customHeight="false" outlineLevel="0" collapsed="false">
      <c r="O33" s="60" t="str">
        <f aca="false">IF(Contacts!$B$37="","",Contacts!$B$37)</f>
        <v/>
      </c>
      <c r="P33" s="60" t="str">
        <f aca="false">IF(LEN(O33)=0,"",SUMPRODUCT(--(LEN(O$2:O33)&gt;0)))</f>
        <v/>
      </c>
      <c r="Q33" s="60" t="str">
        <f aca="false">IFERROR(INDEX(O$2:O$41,MATCH(ROW()-1,P$2:P$41,0)),"")</f>
        <v/>
      </c>
      <c r="R33" s="60" t="str">
        <f aca="false">IF('Country Data'!$A$36="","",'Country Data'!$A$36)</f>
        <v>Austria</v>
      </c>
      <c r="S33" s="60" t="n">
        <f aca="false">IF(LEN(R33)=0,"",SUMPRODUCT(--(LEN(R$2:R33)&gt;0)))</f>
        <v>32</v>
      </c>
      <c r="T33" s="60" t="str">
        <f aca="false">IFERROR(INDEX(R$2:R$81,MATCH(ROW()-1,S$2:S$81,0)),"")</f>
        <v>Austria</v>
      </c>
      <c r="AM33" s="60" t="str">
        <f aca="false">IF(Templates!$E$36="","",IF(OR(Templates!$F$36="x",IFERROR(INDEX(Templates!$G$36:$L$36,MATCH(TripType,Templates!$G$4:$L$4,0))="x",FALSE())),Templates!$E$36,""))</f>
        <v/>
      </c>
      <c r="AN33" s="60" t="str">
        <f aca="false">IF(LEN(AM33)=0,"",SUMPRODUCT(--(LEN(AM$2:AM33)&gt;0)))</f>
        <v/>
      </c>
      <c r="AO33" s="60" t="str">
        <f aca="false">IFERROR(INDEX(AM$2:AM$81,MATCH(ROW()-1,AN$2:AN$81,0)),"")</f>
        <v/>
      </c>
      <c r="BH33" s="60" t="n">
        <f aca="false">ROUND(MAX(0,MIN(BE5,BF3)-MAX(BE5-BC5,BF3-BD3)),0)</f>
        <v>0</v>
      </c>
      <c r="BI33" s="60" t="str">
        <f aca="false">IF(BH33&gt;=1,BA5&amp;" pays "&amp;BA3,"")</f>
        <v/>
      </c>
      <c r="BJ33" s="60" t="str">
        <f aca="false">IF(BI33="","",COUNTIF($BH$2:BH33,"&gt;=1"))</f>
        <v/>
      </c>
      <c r="BK33" s="60" t="str">
        <f aca="false">IFERROR(INDEX($BI$2:$BI$101,MATCH(32,$BJ$2:$BJ$101,0)),"")</f>
        <v/>
      </c>
      <c r="BL33" s="60" t="str">
        <f aca="false">IFERROR(INDEX($BH$2:$BH$101,MATCH(32,$BJ$2:$BJ$101,0)),"")</f>
        <v/>
      </c>
    </row>
    <row r="34" customFormat="false" ht="15" hidden="false" customHeight="false" outlineLevel="0" collapsed="false">
      <c r="O34" s="60" t="str">
        <f aca="false">IF(Contacts!$B$38="","",Contacts!$B$38)</f>
        <v/>
      </c>
      <c r="P34" s="60" t="str">
        <f aca="false">IF(LEN(O34)=0,"",SUMPRODUCT(--(LEN(O$2:O34)&gt;0)))</f>
        <v/>
      </c>
      <c r="Q34" s="60" t="str">
        <f aca="false">IFERROR(INDEX(O$2:O$41,MATCH(ROW()-1,P$2:P$41,0)),"")</f>
        <v/>
      </c>
      <c r="R34" s="60" t="str">
        <f aca="false">IF('Country Data'!$A$37="","",'Country Data'!$A$37)</f>
        <v>Czechia</v>
      </c>
      <c r="S34" s="60" t="n">
        <f aca="false">IF(LEN(R34)=0,"",SUMPRODUCT(--(LEN(R$2:R34)&gt;0)))</f>
        <v>33</v>
      </c>
      <c r="T34" s="60" t="str">
        <f aca="false">IFERROR(INDEX(R$2:R$81,MATCH(ROW()-1,S$2:S$81,0)),"")</f>
        <v>Czechia</v>
      </c>
      <c r="AM34" s="60" t="str">
        <f aca="false">IF(Templates!$E$37="","",IF(OR(Templates!$F$37="x",IFERROR(INDEX(Templates!$G$37:$L$37,MATCH(TripType,Templates!$G$4:$L$4,0))="x",FALSE())),Templates!$E$37,""))</f>
        <v/>
      </c>
      <c r="AN34" s="60" t="str">
        <f aca="false">IF(LEN(AM34)=0,"",SUMPRODUCT(--(LEN(AM$2:AM34)&gt;0)))</f>
        <v/>
      </c>
      <c r="AO34" s="60" t="str">
        <f aca="false">IFERROR(INDEX(AM$2:AM$81,MATCH(ROW()-1,AN$2:AN$81,0)),"")</f>
        <v/>
      </c>
      <c r="BH34" s="60" t="n">
        <f aca="false">ROUND(MAX(0,MIN(BE5,BF4)-MAX(BE5-BC5,BF4-BD4)),0)</f>
        <v>0</v>
      </c>
      <c r="BI34" s="60" t="str">
        <f aca="false">IF(BH34&gt;=1,BA5&amp;" pays "&amp;BA4,"")</f>
        <v/>
      </c>
      <c r="BJ34" s="60" t="str">
        <f aca="false">IF(BI34="","",COUNTIF($BH$2:BH34,"&gt;=1"))</f>
        <v/>
      </c>
      <c r="BK34" s="60" t="str">
        <f aca="false">IFERROR(INDEX($BI$2:$BI$101,MATCH(33,$BJ$2:$BJ$101,0)),"")</f>
        <v/>
      </c>
      <c r="BL34" s="60" t="str">
        <f aca="false">IFERROR(INDEX($BH$2:$BH$101,MATCH(33,$BJ$2:$BJ$101,0)),"")</f>
        <v/>
      </c>
    </row>
    <row r="35" customFormat="false" ht="15" hidden="false" customHeight="false" outlineLevel="0" collapsed="false">
      <c r="O35" s="60" t="str">
        <f aca="false">IF(Contacts!$B$39="","",Contacts!$B$39)</f>
        <v/>
      </c>
      <c r="P35" s="60" t="str">
        <f aca="false">IF(LEN(O35)=0,"",SUMPRODUCT(--(LEN(O$2:O35)&gt;0)))</f>
        <v/>
      </c>
      <c r="Q35" s="60" t="str">
        <f aca="false">IFERROR(INDEX(O$2:O$41,MATCH(ROW()-1,P$2:P$41,0)),"")</f>
        <v/>
      </c>
      <c r="R35" s="60" t="str">
        <f aca="false">IF('Country Data'!$A$38="","",'Country Data'!$A$38)</f>
        <v>Hungary</v>
      </c>
      <c r="S35" s="60" t="n">
        <f aca="false">IF(LEN(R35)=0,"",SUMPRODUCT(--(LEN(R$2:R35)&gt;0)))</f>
        <v>34</v>
      </c>
      <c r="T35" s="60" t="str">
        <f aca="false">IFERROR(INDEX(R$2:R$81,MATCH(ROW()-1,S$2:S$81,0)),"")</f>
        <v>Hungary</v>
      </c>
      <c r="AM35" s="60" t="str">
        <f aca="false">IF(Templates!$E$38="","",IF(OR(Templates!$F$38="x",IFERROR(INDEX(Templates!$G$38:$L$38,MATCH(TripType,Templates!$G$4:$L$4,0))="x",FALSE())),Templates!$E$38,""))</f>
        <v/>
      </c>
      <c r="AN35" s="60" t="str">
        <f aca="false">IF(LEN(AM35)=0,"",SUMPRODUCT(--(LEN(AM$2:AM35)&gt;0)))</f>
        <v/>
      </c>
      <c r="AO35" s="60" t="str">
        <f aca="false">IFERROR(INDEX(AM$2:AM$81,MATCH(ROW()-1,AN$2:AN$81,0)),"")</f>
        <v/>
      </c>
      <c r="BH35" s="60" t="n">
        <f aca="false">ROUND(MAX(0,MIN(BE5,BF5)-MAX(BE5-BC5,BF5-BD5)),0)</f>
        <v>0</v>
      </c>
      <c r="BI35" s="60" t="str">
        <f aca="false">IF(BH35&gt;=1,BA5&amp;" pays "&amp;BA5,"")</f>
        <v/>
      </c>
      <c r="BJ35" s="60" t="str">
        <f aca="false">IF(BI35="","",COUNTIF($BH$2:BH35,"&gt;=1"))</f>
        <v/>
      </c>
      <c r="BK35" s="60" t="str">
        <f aca="false">IFERROR(INDEX($BI$2:$BI$101,MATCH(34,$BJ$2:$BJ$101,0)),"")</f>
        <v/>
      </c>
      <c r="BL35" s="60" t="str">
        <f aca="false">IFERROR(INDEX($BH$2:$BH$101,MATCH(34,$BJ$2:$BJ$101,0)),"")</f>
        <v/>
      </c>
    </row>
    <row r="36" customFormat="false" ht="15" hidden="false" customHeight="false" outlineLevel="0" collapsed="false">
      <c r="O36" s="60" t="str">
        <f aca="false">IF(Contacts!$B$40="","",Contacts!$B$40)</f>
        <v/>
      </c>
      <c r="P36" s="60" t="str">
        <f aca="false">IF(LEN(O36)=0,"",SUMPRODUCT(--(LEN(O$2:O36)&gt;0)))</f>
        <v/>
      </c>
      <c r="Q36" s="60" t="str">
        <f aca="false">IFERROR(INDEX(O$2:O$41,MATCH(ROW()-1,P$2:P$41,0)),"")</f>
        <v/>
      </c>
      <c r="R36" s="60" t="str">
        <f aca="false">IF('Country Data'!$A$39="","",'Country Data'!$A$39)</f>
        <v>Poland</v>
      </c>
      <c r="S36" s="60" t="n">
        <f aca="false">IF(LEN(R36)=0,"",SUMPRODUCT(--(LEN(R$2:R36)&gt;0)))</f>
        <v>35</v>
      </c>
      <c r="T36" s="60" t="str">
        <f aca="false">IFERROR(INDEX(R$2:R$81,MATCH(ROW()-1,S$2:S$81,0)),"")</f>
        <v>Poland</v>
      </c>
      <c r="AM36" s="60" t="str">
        <f aca="false">IF(Templates!$E$39="","",IF(OR(Templates!$F$39="x",IFERROR(INDEX(Templates!$G$39:$L$39,MATCH(TripType,Templates!$G$4:$L$4,0))="x",FALSE())),Templates!$E$39,""))</f>
        <v/>
      </c>
      <c r="AN36" s="60" t="str">
        <f aca="false">IF(LEN(AM36)=0,"",SUMPRODUCT(--(LEN(AM$2:AM36)&gt;0)))</f>
        <v/>
      </c>
      <c r="AO36" s="60" t="str">
        <f aca="false">IFERROR(INDEX(AM$2:AM$81,MATCH(ROW()-1,AN$2:AN$81,0)),"")</f>
        <v/>
      </c>
      <c r="BH36" s="60" t="n">
        <f aca="false">ROUND(MAX(0,MIN(BE5,BF6)-MAX(BE5-BC5,BF6-BD6)),0)</f>
        <v>0</v>
      </c>
      <c r="BI36" s="60" t="str">
        <f aca="false">IF(BH36&gt;=1,BA5&amp;" pays "&amp;BA6,"")</f>
        <v/>
      </c>
      <c r="BJ36" s="60" t="str">
        <f aca="false">IF(BI36="","",COUNTIF($BH$2:BH36,"&gt;=1"))</f>
        <v/>
      </c>
      <c r="BK36" s="60" t="str">
        <f aca="false">IFERROR(INDEX($BI$2:$BI$101,MATCH(35,$BJ$2:$BJ$101,0)),"")</f>
        <v/>
      </c>
      <c r="BL36" s="60" t="str">
        <f aca="false">IFERROR(INDEX($BH$2:$BH$101,MATCH(35,$BJ$2:$BJ$101,0)),"")</f>
        <v/>
      </c>
    </row>
    <row r="37" customFormat="false" ht="15" hidden="false" customHeight="false" outlineLevel="0" collapsed="false">
      <c r="O37" s="60" t="str">
        <f aca="false">IF(Contacts!$B$41="","",Contacts!$B$41)</f>
        <v/>
      </c>
      <c r="P37" s="60" t="str">
        <f aca="false">IF(LEN(O37)=0,"",SUMPRODUCT(--(LEN(O$2:O37)&gt;0)))</f>
        <v/>
      </c>
      <c r="Q37" s="60" t="str">
        <f aca="false">IFERROR(INDEX(O$2:O$41,MATCH(ROW()-1,P$2:P$41,0)),"")</f>
        <v/>
      </c>
      <c r="R37" s="60" t="str">
        <f aca="false">IF('Country Data'!$A$40="","",'Country Data'!$A$40)</f>
        <v>Norway</v>
      </c>
      <c r="S37" s="60" t="n">
        <f aca="false">IF(LEN(R37)=0,"",SUMPRODUCT(--(LEN(R$2:R37)&gt;0)))</f>
        <v>36</v>
      </c>
      <c r="T37" s="60" t="str">
        <f aca="false">IFERROR(INDEX(R$2:R$81,MATCH(ROW()-1,S$2:S$81,0)),"")</f>
        <v>Norway</v>
      </c>
      <c r="AM37" s="60" t="str">
        <f aca="false">IF(Templates!$E$40="","",IF(OR(Templates!$F$40="x",IFERROR(INDEX(Templates!$G$40:$L$40,MATCH(TripType,Templates!$G$4:$L$4,0))="x",FALSE())),Templates!$E$40,""))</f>
        <v/>
      </c>
      <c r="AN37" s="60" t="str">
        <f aca="false">IF(LEN(AM37)=0,"",SUMPRODUCT(--(LEN(AM$2:AM37)&gt;0)))</f>
        <v/>
      </c>
      <c r="AO37" s="60" t="str">
        <f aca="false">IFERROR(INDEX(AM$2:AM$81,MATCH(ROW()-1,AN$2:AN$81,0)),"")</f>
        <v/>
      </c>
      <c r="BH37" s="60" t="n">
        <f aca="false">ROUND(MAX(0,MIN(BE5,BF7)-MAX(BE5-BC5,BF7-BD7)),0)</f>
        <v>0</v>
      </c>
      <c r="BI37" s="60" t="str">
        <f aca="false">IF(BH37&gt;=1,BA5&amp;" pays "&amp;BA7,"")</f>
        <v/>
      </c>
      <c r="BJ37" s="60" t="str">
        <f aca="false">IF(BI37="","",COUNTIF($BH$2:BH37,"&gt;=1"))</f>
        <v/>
      </c>
      <c r="BK37" s="60" t="str">
        <f aca="false">IFERROR(INDEX($BI$2:$BI$101,MATCH(36,$BJ$2:$BJ$101,0)),"")</f>
        <v/>
      </c>
      <c r="BL37" s="60" t="str">
        <f aca="false">IFERROR(INDEX($BH$2:$BH$101,MATCH(36,$BJ$2:$BJ$101,0)),"")</f>
        <v/>
      </c>
    </row>
    <row r="38" customFormat="false" ht="15" hidden="false" customHeight="false" outlineLevel="0" collapsed="false">
      <c r="O38" s="60" t="str">
        <f aca="false">IF(Contacts!$B$42="","",Contacts!$B$42)</f>
        <v/>
      </c>
      <c r="P38" s="60" t="str">
        <f aca="false">IF(LEN(O38)=0,"",SUMPRODUCT(--(LEN(O$2:O38)&gt;0)))</f>
        <v/>
      </c>
      <c r="Q38" s="60" t="str">
        <f aca="false">IFERROR(INDEX(O$2:O$41,MATCH(ROW()-1,P$2:P$41,0)),"")</f>
        <v/>
      </c>
      <c r="R38" s="60" t="str">
        <f aca="false">IF('Country Data'!$A$41="","",'Country Data'!$A$41)</f>
        <v>Sweden</v>
      </c>
      <c r="S38" s="60" t="n">
        <f aca="false">IF(LEN(R38)=0,"",SUMPRODUCT(--(LEN(R$2:R38)&gt;0)))</f>
        <v>37</v>
      </c>
      <c r="T38" s="60" t="str">
        <f aca="false">IFERROR(INDEX(R$2:R$81,MATCH(ROW()-1,S$2:S$81,0)),"")</f>
        <v>Sweden</v>
      </c>
      <c r="AM38" s="60" t="str">
        <f aca="false">IF(Templates!$E$41="","",IF(OR(Templates!$F$41="x",IFERROR(INDEX(Templates!$G$41:$L$41,MATCH(TripType,Templates!$G$4:$L$4,0))="x",FALSE())),Templates!$E$41,""))</f>
        <v/>
      </c>
      <c r="AN38" s="60" t="str">
        <f aca="false">IF(LEN(AM38)=0,"",SUMPRODUCT(--(LEN(AM$2:AM38)&gt;0)))</f>
        <v/>
      </c>
      <c r="AO38" s="60" t="str">
        <f aca="false">IFERROR(INDEX(AM$2:AM$81,MATCH(ROW()-1,AN$2:AN$81,0)),"")</f>
        <v/>
      </c>
      <c r="BH38" s="60" t="n">
        <f aca="false">ROUND(MAX(0,MIN(BE5,BF8)-MAX(BE5-BC5,BF8-BD8)),0)</f>
        <v>0</v>
      </c>
      <c r="BI38" s="60" t="str">
        <f aca="false">IF(BH38&gt;=1,BA5&amp;" pays "&amp;BA8,"")</f>
        <v/>
      </c>
      <c r="BJ38" s="60" t="str">
        <f aca="false">IF(BI38="","",COUNTIF($BH$2:BH38,"&gt;=1"))</f>
        <v/>
      </c>
      <c r="BK38" s="60" t="str">
        <f aca="false">IFERROR(INDEX($BI$2:$BI$101,MATCH(37,$BJ$2:$BJ$101,0)),"")</f>
        <v/>
      </c>
      <c r="BL38" s="60" t="str">
        <f aca="false">IFERROR(INDEX($BH$2:$BH$101,MATCH(37,$BJ$2:$BJ$101,0)),"")</f>
        <v/>
      </c>
    </row>
    <row r="39" customFormat="false" ht="15" hidden="false" customHeight="false" outlineLevel="0" collapsed="false">
      <c r="O39" s="60" t="str">
        <f aca="false">IF(Contacts!$B$43="","",Contacts!$B$43)</f>
        <v/>
      </c>
      <c r="P39" s="60" t="str">
        <f aca="false">IF(LEN(O39)=0,"",SUMPRODUCT(--(LEN(O$2:O39)&gt;0)))</f>
        <v/>
      </c>
      <c r="Q39" s="60" t="str">
        <f aca="false">IFERROR(INDEX(O$2:O$41,MATCH(ROW()-1,P$2:P$41,0)),"")</f>
        <v/>
      </c>
      <c r="R39" s="60" t="str">
        <f aca="false">IF('Country Data'!$A$42="","",'Country Data'!$A$42)</f>
        <v>Finland</v>
      </c>
      <c r="S39" s="60" t="n">
        <f aca="false">IF(LEN(R39)=0,"",SUMPRODUCT(--(LEN(R$2:R39)&gt;0)))</f>
        <v>38</v>
      </c>
      <c r="T39" s="60" t="str">
        <f aca="false">IFERROR(INDEX(R$2:R$81,MATCH(ROW()-1,S$2:S$81,0)),"")</f>
        <v>Finland</v>
      </c>
      <c r="AM39" s="60" t="str">
        <f aca="false">IF(Templates!$E$42="","",IF(OR(Templates!$F$42="x",IFERROR(INDEX(Templates!$G$42:$L$42,MATCH(TripType,Templates!$G$4:$L$4,0))="x",FALSE())),Templates!$E$42,""))</f>
        <v/>
      </c>
      <c r="AN39" s="60" t="str">
        <f aca="false">IF(LEN(AM39)=0,"",SUMPRODUCT(--(LEN(AM$2:AM39)&gt;0)))</f>
        <v/>
      </c>
      <c r="AO39" s="60" t="str">
        <f aca="false">IFERROR(INDEX(AM$2:AM$81,MATCH(ROW()-1,AN$2:AN$81,0)),"")</f>
        <v/>
      </c>
      <c r="BH39" s="60" t="n">
        <f aca="false">ROUND(MAX(0,MIN(BE5,BF9)-MAX(BE5-BC5,BF9-BD9)),0)</f>
        <v>0</v>
      </c>
      <c r="BI39" s="60" t="str">
        <f aca="false">IF(BH39&gt;=1,BA5&amp;" pays "&amp;BA9,"")</f>
        <v/>
      </c>
      <c r="BJ39" s="60" t="str">
        <f aca="false">IF(BI39="","",COUNTIF($BH$2:BH39,"&gt;=1"))</f>
        <v/>
      </c>
      <c r="BK39" s="60" t="str">
        <f aca="false">IFERROR(INDEX($BI$2:$BI$101,MATCH(38,$BJ$2:$BJ$101,0)),"")</f>
        <v/>
      </c>
      <c r="BL39" s="60" t="str">
        <f aca="false">IFERROR(INDEX($BH$2:$BH$101,MATCH(38,$BJ$2:$BJ$101,0)),"")</f>
        <v/>
      </c>
    </row>
    <row r="40" customFormat="false" ht="15" hidden="false" customHeight="false" outlineLevel="0" collapsed="false">
      <c r="O40" s="60" t="str">
        <f aca="false">IF(Contacts!$B$44="","",Contacts!$B$44)</f>
        <v/>
      </c>
      <c r="P40" s="60" t="str">
        <f aca="false">IF(LEN(O40)=0,"",SUMPRODUCT(--(LEN(O$2:O40)&gt;0)))</f>
        <v/>
      </c>
      <c r="Q40" s="60" t="str">
        <f aca="false">IFERROR(INDEX(O$2:O$41,MATCH(ROW()-1,P$2:P$41,0)),"")</f>
        <v/>
      </c>
      <c r="R40" s="60" t="str">
        <f aca="false">IF('Country Data'!$A$43="","",'Country Data'!$A$43)</f>
        <v>Denmark</v>
      </c>
      <c r="S40" s="60" t="n">
        <f aca="false">IF(LEN(R40)=0,"",SUMPRODUCT(--(LEN(R$2:R40)&gt;0)))</f>
        <v>39</v>
      </c>
      <c r="T40" s="60" t="str">
        <f aca="false">IFERROR(INDEX(R$2:R$81,MATCH(ROW()-1,S$2:S$81,0)),"")</f>
        <v>Denmark</v>
      </c>
      <c r="AM40" s="60" t="str">
        <f aca="false">IF(Templates!$E$43="","",IF(OR(Templates!$F$43="x",IFERROR(INDEX(Templates!$G$43:$L$43,MATCH(TripType,Templates!$G$4:$L$4,0))="x",FALSE())),Templates!$E$43,""))</f>
        <v>Laundry bag</v>
      </c>
      <c r="AN40" s="60" t="n">
        <f aca="false">IF(LEN(AM40)=0,"",SUMPRODUCT(--(LEN(AM$2:AM40)&gt;0)))</f>
        <v>17</v>
      </c>
      <c r="AO40" s="60" t="str">
        <f aca="false">IFERROR(INDEX(AM$2:AM$81,MATCH(ROW()-1,AN$2:AN$81,0)),"")</f>
        <v/>
      </c>
      <c r="BH40" s="60" t="n">
        <f aca="false">ROUND(MAX(0,MIN(BE5,BF10)-MAX(BE5-BC5,BF10-BD10)),0)</f>
        <v>0</v>
      </c>
      <c r="BI40" s="60" t="str">
        <f aca="false">IF(BH40&gt;=1,BA5&amp;" pays "&amp;BA10,"")</f>
        <v/>
      </c>
      <c r="BJ40" s="60" t="str">
        <f aca="false">IF(BI40="","",COUNTIF($BH$2:BH40,"&gt;=1"))</f>
        <v/>
      </c>
      <c r="BK40" s="60" t="str">
        <f aca="false">IFERROR(INDEX($BI$2:$BI$101,MATCH(39,$BJ$2:$BJ$101,0)),"")</f>
        <v/>
      </c>
      <c r="BL40" s="60" t="str">
        <f aca="false">IFERROR(INDEX($BH$2:$BH$101,MATCH(39,$BJ$2:$BJ$101,0)),"")</f>
        <v/>
      </c>
    </row>
    <row r="41" customFormat="false" ht="15" hidden="false" customHeight="false" outlineLevel="0" collapsed="false">
      <c r="O41" s="60" t="str">
        <f aca="false">IF(Contacts!$B$45="","",Contacts!$B$45)</f>
        <v/>
      </c>
      <c r="P41" s="60" t="str">
        <f aca="false">IF(LEN(O41)=0,"",SUMPRODUCT(--(LEN(O$2:O41)&gt;0)))</f>
        <v/>
      </c>
      <c r="Q41" s="60" t="str">
        <f aca="false">IFERROR(INDEX(O$2:O$41,MATCH(ROW()-1,P$2:P$41,0)),"")</f>
        <v/>
      </c>
      <c r="R41" s="60" t="str">
        <f aca="false">IF('Country Data'!$A$44="","",'Country Data'!$A$44)</f>
        <v>Iceland</v>
      </c>
      <c r="S41" s="60" t="n">
        <f aca="false">IF(LEN(R41)=0,"",SUMPRODUCT(--(LEN(R$2:R41)&gt;0)))</f>
        <v>40</v>
      </c>
      <c r="T41" s="60" t="str">
        <f aca="false">IFERROR(INDEX(R$2:R$81,MATCH(ROW()-1,S$2:S$81,0)),"")</f>
        <v>Iceland</v>
      </c>
      <c r="AM41" s="60" t="str">
        <f aca="false">IF(Templates!$E$44="","",IF(OR(Templates!$F$44="x",IFERROR(INDEX(Templates!$G$44:$L$44,MATCH(TripType,Templates!$G$4:$L$4,0))="x",FALSE())),Templates!$E$44,""))</f>
        <v>Small padlock</v>
      </c>
      <c r="AN41" s="60" t="n">
        <f aca="false">IF(LEN(AM41)=0,"",SUMPRODUCT(--(LEN(AM$2:AM41)&gt;0)))</f>
        <v>18</v>
      </c>
      <c r="AO41" s="60" t="str">
        <f aca="false">IFERROR(INDEX(AM$2:AM$81,MATCH(ROW()-1,AN$2:AN$81,0)),"")</f>
        <v/>
      </c>
      <c r="BH41" s="60" t="n">
        <f aca="false">ROUND(MAX(0,MIN(BE5,BF11)-MAX(BE5-BC5,BF11-BD11)),0)</f>
        <v>0</v>
      </c>
      <c r="BI41" s="60" t="str">
        <f aca="false">IF(BH41&gt;=1,BA5&amp;" pays "&amp;BA11,"")</f>
        <v/>
      </c>
      <c r="BJ41" s="60" t="str">
        <f aca="false">IF(BI41="","",COUNTIF($BH$2:BH41,"&gt;=1"))</f>
        <v/>
      </c>
      <c r="BK41" s="60" t="str">
        <f aca="false">IFERROR(INDEX($BI$2:$BI$101,MATCH(40,$BJ$2:$BJ$101,0)),"")</f>
        <v/>
      </c>
      <c r="BL41" s="60" t="str">
        <f aca="false">IFERROR(INDEX($BH$2:$BH$101,MATCH(40,$BJ$2:$BJ$101,0)),"")</f>
        <v/>
      </c>
    </row>
    <row r="42" customFormat="false" ht="15" hidden="false" customHeight="false" outlineLevel="0" collapsed="false">
      <c r="R42" s="60" t="str">
        <f aca="false">IF('Country Data'!$A$45="","",'Country Data'!$A$45)</f>
        <v>USA</v>
      </c>
      <c r="S42" s="60" t="n">
        <f aca="false">IF(LEN(R42)=0,"",SUMPRODUCT(--(LEN(R$2:R42)&gt;0)))</f>
        <v>41</v>
      </c>
      <c r="T42" s="60" t="str">
        <f aca="false">IFERROR(INDEX(R$2:R$81,MATCH(ROW()-1,S$2:S$81,0)),"")</f>
        <v>USA</v>
      </c>
      <c r="AM42" s="60" t="str">
        <f aca="false">IF(Templates!$E$45="","",IF(OR(Templates!$F$45="x",IFERROR(INDEX(Templates!$G$45:$L$45,MATCH(TripType,Templates!$G$4:$L$4,0))="x",FALSE())),Templates!$E$45,""))</f>
        <v/>
      </c>
      <c r="AN42" s="60" t="str">
        <f aca="false">IF(LEN(AM42)=0,"",SUMPRODUCT(--(LEN(AM$2:AM42)&gt;0)))</f>
        <v/>
      </c>
      <c r="AO42" s="60" t="str">
        <f aca="false">IFERROR(INDEX(AM$2:AM$81,MATCH(ROW()-1,AN$2:AN$81,0)),"")</f>
        <v/>
      </c>
      <c r="BH42" s="60" t="n">
        <f aca="false">ROUND(MAX(0,MIN(BE6,BF2)-MAX(BE6-BC6,BF2-BD2)),0)</f>
        <v>0</v>
      </c>
      <c r="BI42" s="60" t="str">
        <f aca="false">IF(BH42&gt;=1,BA6&amp;" pays "&amp;BA2,"")</f>
        <v/>
      </c>
      <c r="BJ42" s="60" t="str">
        <f aca="false">IF(BI42="","",COUNTIF($BH$2:BH42,"&gt;=1"))</f>
        <v/>
      </c>
      <c r="BK42" s="60" t="str">
        <f aca="false">IFERROR(INDEX($BI$2:$BI$101,MATCH(41,$BJ$2:$BJ$101,0)),"")</f>
        <v/>
      </c>
      <c r="BL42" s="60" t="str">
        <f aca="false">IFERROR(INDEX($BH$2:$BH$101,MATCH(41,$BJ$2:$BJ$101,0)),"")</f>
        <v/>
      </c>
    </row>
    <row r="43" customFormat="false" ht="15" hidden="false" customHeight="false" outlineLevel="0" collapsed="false">
      <c r="R43" s="60" t="str">
        <f aca="false">IF('Country Data'!$A$46="","",'Country Data'!$A$46)</f>
        <v>Canada</v>
      </c>
      <c r="S43" s="60" t="n">
        <f aca="false">IF(LEN(R43)=0,"",SUMPRODUCT(--(LEN(R$2:R43)&gt;0)))</f>
        <v>42</v>
      </c>
      <c r="T43" s="60" t="str">
        <f aca="false">IFERROR(INDEX(R$2:R$81,MATCH(ROW()-1,S$2:S$81,0)),"")</f>
        <v>Canada</v>
      </c>
      <c r="AM43" s="60" t="str">
        <f aca="false">IF(Templates!$E$46="","",IF(OR(Templates!$F$46="x",IFERROR(INDEX(Templates!$G$46:$L$46,MATCH(TripType,Templates!$G$4:$L$4,0))="x",FALSE())),Templates!$E$46,""))</f>
        <v/>
      </c>
      <c r="AN43" s="60" t="str">
        <f aca="false">IF(LEN(AM43)=0,"",SUMPRODUCT(--(LEN(AM$2:AM43)&gt;0)))</f>
        <v/>
      </c>
      <c r="AO43" s="60" t="str">
        <f aca="false">IFERROR(INDEX(AM$2:AM$81,MATCH(ROW()-1,AN$2:AN$81,0)),"")</f>
        <v/>
      </c>
      <c r="BH43" s="60" t="n">
        <f aca="false">ROUND(MAX(0,MIN(BE6,BF3)-MAX(BE6-BC6,BF3-BD3)),0)</f>
        <v>0</v>
      </c>
      <c r="BI43" s="60" t="str">
        <f aca="false">IF(BH43&gt;=1,BA6&amp;" pays "&amp;BA3,"")</f>
        <v/>
      </c>
      <c r="BJ43" s="60" t="str">
        <f aca="false">IF(BI43="","",COUNTIF($BH$2:BH43,"&gt;=1"))</f>
        <v/>
      </c>
      <c r="BK43" s="60" t="str">
        <f aca="false">IFERROR(INDEX($BI$2:$BI$101,MATCH(42,$BJ$2:$BJ$101,0)),"")</f>
        <v/>
      </c>
      <c r="BL43" s="60" t="str">
        <f aca="false">IFERROR(INDEX($BH$2:$BH$101,MATCH(42,$BJ$2:$BJ$101,0)),"")</f>
        <v/>
      </c>
    </row>
    <row r="44" customFormat="false" ht="15" hidden="false" customHeight="false" outlineLevel="0" collapsed="false">
      <c r="R44" s="60" t="str">
        <f aca="false">IF('Country Data'!$A$47="","",'Country Data'!$A$47)</f>
        <v>Australia</v>
      </c>
      <c r="S44" s="60" t="n">
        <f aca="false">IF(LEN(R44)=0,"",SUMPRODUCT(--(LEN(R$2:R44)&gt;0)))</f>
        <v>43</v>
      </c>
      <c r="T44" s="60" t="str">
        <f aca="false">IFERROR(INDEX(R$2:R$81,MATCH(ROW()-1,S$2:S$81,0)),"")</f>
        <v>Australia</v>
      </c>
      <c r="AM44" s="60" t="str">
        <f aca="false">IF(Templates!$E$47="","",IF(OR(Templates!$F$47="x",IFERROR(INDEX(Templates!$G$47:$L$47,MATCH(TripType,Templates!$G$4:$L$4,0))="x",FALSE())),Templates!$E$47,""))</f>
        <v/>
      </c>
      <c r="AN44" s="60" t="str">
        <f aca="false">IF(LEN(AM44)=0,"",SUMPRODUCT(--(LEN(AM$2:AM44)&gt;0)))</f>
        <v/>
      </c>
      <c r="AO44" s="60" t="str">
        <f aca="false">IFERROR(INDEX(AM$2:AM$81,MATCH(ROW()-1,AN$2:AN$81,0)),"")</f>
        <v/>
      </c>
      <c r="BH44" s="60" t="n">
        <f aca="false">ROUND(MAX(0,MIN(BE6,BF4)-MAX(BE6-BC6,BF4-BD4)),0)</f>
        <v>0</v>
      </c>
      <c r="BI44" s="60" t="str">
        <f aca="false">IF(BH44&gt;=1,BA6&amp;" pays "&amp;BA4,"")</f>
        <v/>
      </c>
      <c r="BJ44" s="60" t="str">
        <f aca="false">IF(BI44="","",COUNTIF($BH$2:BH44,"&gt;=1"))</f>
        <v/>
      </c>
      <c r="BK44" s="60" t="str">
        <f aca="false">IFERROR(INDEX($BI$2:$BI$101,MATCH(43,$BJ$2:$BJ$101,0)),"")</f>
        <v/>
      </c>
      <c r="BL44" s="60" t="str">
        <f aca="false">IFERROR(INDEX($BH$2:$BH$101,MATCH(43,$BJ$2:$BJ$101,0)),"")</f>
        <v/>
      </c>
    </row>
    <row r="45" customFormat="false" ht="15" hidden="false" customHeight="false" outlineLevel="0" collapsed="false">
      <c r="R45" s="60" t="str">
        <f aca="false">IF('Country Data'!$A$48="","",'Country Data'!$A$48)</f>
        <v>New Zealand</v>
      </c>
      <c r="S45" s="60" t="n">
        <f aca="false">IF(LEN(R45)=0,"",SUMPRODUCT(--(LEN(R$2:R45)&gt;0)))</f>
        <v>44</v>
      </c>
      <c r="T45" s="60" t="str">
        <f aca="false">IFERROR(INDEX(R$2:R$81,MATCH(ROW()-1,S$2:S$81,0)),"")</f>
        <v>New Zealand</v>
      </c>
      <c r="AM45" s="60" t="str">
        <f aca="false">IF(Templates!$E$48="","",IF(OR(Templates!$F$48="x",IFERROR(INDEX(Templates!$G$48:$L$48,MATCH(TripType,Templates!$G$4:$L$4,0))="x",FALSE())),Templates!$E$48,""))</f>
        <v/>
      </c>
      <c r="AN45" s="60" t="str">
        <f aca="false">IF(LEN(AM45)=0,"",SUMPRODUCT(--(LEN(AM$2:AM45)&gt;0)))</f>
        <v/>
      </c>
      <c r="AO45" s="60" t="str">
        <f aca="false">IFERROR(INDEX(AM$2:AM$81,MATCH(ROW()-1,AN$2:AN$81,0)),"")</f>
        <v/>
      </c>
      <c r="BH45" s="60" t="n">
        <f aca="false">ROUND(MAX(0,MIN(BE6,BF5)-MAX(BE6-BC6,BF5-BD5)),0)</f>
        <v>0</v>
      </c>
      <c r="BI45" s="60" t="str">
        <f aca="false">IF(BH45&gt;=1,BA6&amp;" pays "&amp;BA5,"")</f>
        <v/>
      </c>
      <c r="BJ45" s="60" t="str">
        <f aca="false">IF(BI45="","",COUNTIF($BH$2:BH45,"&gt;=1"))</f>
        <v/>
      </c>
      <c r="BK45" s="60" t="str">
        <f aca="false">IFERROR(INDEX($BI$2:$BI$101,MATCH(44,$BJ$2:$BJ$101,0)),"")</f>
        <v/>
      </c>
      <c r="BL45" s="60" t="str">
        <f aca="false">IFERROR(INDEX($BH$2:$BH$101,MATCH(44,$BJ$2:$BJ$101,0)),"")</f>
        <v/>
      </c>
    </row>
    <row r="46" customFormat="false" ht="15" hidden="false" customHeight="false" outlineLevel="0" collapsed="false">
      <c r="R46" s="60" t="str">
        <f aca="false">IF('Country Data'!$A$49="","",'Country Data'!$A$49)</f>
        <v>India</v>
      </c>
      <c r="S46" s="60" t="n">
        <f aca="false">IF(LEN(R46)=0,"",SUMPRODUCT(--(LEN(R$2:R46)&gt;0)))</f>
        <v>45</v>
      </c>
      <c r="T46" s="60" t="str">
        <f aca="false">IFERROR(INDEX(R$2:R$81,MATCH(ROW()-1,S$2:S$81,0)),"")</f>
        <v>India</v>
      </c>
      <c r="AM46" s="60" t="str">
        <f aca="false">IF(Templates!$E$49="","",IF(OR(Templates!$F$49="x",IFERROR(INDEX(Templates!$G$49:$L$49,MATCH(TripType,Templates!$G$4:$L$4,0))="x",FALSE())),Templates!$E$49,""))</f>
        <v/>
      </c>
      <c r="AN46" s="60" t="str">
        <f aca="false">IF(LEN(AM46)=0,"",SUMPRODUCT(--(LEN(AM$2:AM46)&gt;0)))</f>
        <v/>
      </c>
      <c r="AO46" s="60" t="str">
        <f aca="false">IFERROR(INDEX(AM$2:AM$81,MATCH(ROW()-1,AN$2:AN$81,0)),"")</f>
        <v/>
      </c>
      <c r="BH46" s="60" t="n">
        <f aca="false">ROUND(MAX(0,MIN(BE6,BF6)-MAX(BE6-BC6,BF6-BD6)),0)</f>
        <v>0</v>
      </c>
      <c r="BI46" s="60" t="str">
        <f aca="false">IF(BH46&gt;=1,BA6&amp;" pays "&amp;BA6,"")</f>
        <v/>
      </c>
      <c r="BJ46" s="60" t="str">
        <f aca="false">IF(BI46="","",COUNTIF($BH$2:BH46,"&gt;=1"))</f>
        <v/>
      </c>
      <c r="BK46" s="60" t="str">
        <f aca="false">IFERROR(INDEX($BI$2:$BI$101,MATCH(45,$BJ$2:$BJ$101,0)),"")</f>
        <v/>
      </c>
      <c r="BL46" s="60" t="str">
        <f aca="false">IFERROR(INDEX($BH$2:$BH$101,MATCH(45,$BJ$2:$BJ$101,0)),"")</f>
        <v/>
      </c>
    </row>
    <row r="47" customFormat="false" ht="15" hidden="false" customHeight="false" outlineLevel="0" collapsed="false">
      <c r="R47" s="60" t="str">
        <f aca="false">IF('Country Data'!$A$50="","",'Country Data'!$A$50)</f>
        <v/>
      </c>
      <c r="S47" s="60" t="str">
        <f aca="false">IF(LEN(R47)=0,"",SUMPRODUCT(--(LEN(R$2:R47)&gt;0)))</f>
        <v/>
      </c>
      <c r="T47" s="60" t="str">
        <f aca="false">IFERROR(INDEX(R$2:R$81,MATCH(ROW()-1,S$2:S$81,0)),"")</f>
        <v/>
      </c>
      <c r="AM47" s="60" t="str">
        <f aca="false">IF(Templates!$E$50="","",IF(OR(Templates!$F$50="x",IFERROR(INDEX(Templates!$G$50:$L$50,MATCH(TripType,Templates!$G$4:$L$4,0))="x",FALSE())),Templates!$E$50,""))</f>
        <v/>
      </c>
      <c r="AN47" s="60" t="str">
        <f aca="false">IF(LEN(AM47)=0,"",SUMPRODUCT(--(LEN(AM$2:AM47)&gt;0)))</f>
        <v/>
      </c>
      <c r="AO47" s="60" t="str">
        <f aca="false">IFERROR(INDEX(AM$2:AM$81,MATCH(ROW()-1,AN$2:AN$81,0)),"")</f>
        <v/>
      </c>
      <c r="BH47" s="60" t="n">
        <f aca="false">ROUND(MAX(0,MIN(BE6,BF7)-MAX(BE6-BC6,BF7-BD7)),0)</f>
        <v>0</v>
      </c>
      <c r="BI47" s="60" t="str">
        <f aca="false">IF(BH47&gt;=1,BA6&amp;" pays "&amp;BA7,"")</f>
        <v/>
      </c>
      <c r="BJ47" s="60" t="str">
        <f aca="false">IF(BI47="","",COUNTIF($BH$2:BH47,"&gt;=1"))</f>
        <v/>
      </c>
      <c r="BK47" s="60" t="str">
        <f aca="false">IFERROR(INDEX($BI$2:$BI$101,MATCH(46,$BJ$2:$BJ$101,0)),"")</f>
        <v/>
      </c>
      <c r="BL47" s="60" t="str">
        <f aca="false">IFERROR(INDEX($BH$2:$BH$101,MATCH(46,$BJ$2:$BJ$101,0)),"")</f>
        <v/>
      </c>
    </row>
    <row r="48" customFormat="false" ht="15" hidden="false" customHeight="false" outlineLevel="0" collapsed="false">
      <c r="R48" s="60" t="str">
        <f aca="false">IF('Country Data'!$A$51="","",'Country Data'!$A$51)</f>
        <v/>
      </c>
      <c r="S48" s="60" t="str">
        <f aca="false">IF(LEN(R48)=0,"",SUMPRODUCT(--(LEN(R$2:R48)&gt;0)))</f>
        <v/>
      </c>
      <c r="T48" s="60" t="str">
        <f aca="false">IFERROR(INDEX(R$2:R$81,MATCH(ROW()-1,S$2:S$81,0)),"")</f>
        <v/>
      </c>
      <c r="AM48" s="60" t="str">
        <f aca="false">IF(Templates!$E$51="","",IF(OR(Templates!$F$51="x",IFERROR(INDEX(Templates!$G$51:$L$51,MATCH(TripType,Templates!$G$4:$L$4,0))="x",FALSE())),Templates!$E$51,""))</f>
        <v/>
      </c>
      <c r="AN48" s="60" t="str">
        <f aca="false">IF(LEN(AM48)=0,"",SUMPRODUCT(--(LEN(AM$2:AM48)&gt;0)))</f>
        <v/>
      </c>
      <c r="AO48" s="60" t="str">
        <f aca="false">IFERROR(INDEX(AM$2:AM$81,MATCH(ROW()-1,AN$2:AN$81,0)),"")</f>
        <v/>
      </c>
      <c r="BH48" s="60" t="n">
        <f aca="false">ROUND(MAX(0,MIN(BE6,BF8)-MAX(BE6-BC6,BF8-BD8)),0)</f>
        <v>0</v>
      </c>
      <c r="BI48" s="60" t="str">
        <f aca="false">IF(BH48&gt;=1,BA6&amp;" pays "&amp;BA8,"")</f>
        <v/>
      </c>
      <c r="BJ48" s="60" t="str">
        <f aca="false">IF(BI48="","",COUNTIF($BH$2:BH48,"&gt;=1"))</f>
        <v/>
      </c>
      <c r="BK48" s="60" t="str">
        <f aca="false">IFERROR(INDEX($BI$2:$BI$101,MATCH(47,$BJ$2:$BJ$101,0)),"")</f>
        <v/>
      </c>
      <c r="BL48" s="60" t="str">
        <f aca="false">IFERROR(INDEX($BH$2:$BH$101,MATCH(47,$BJ$2:$BJ$101,0)),"")</f>
        <v/>
      </c>
    </row>
    <row r="49" customFormat="false" ht="15" hidden="false" customHeight="false" outlineLevel="0" collapsed="false">
      <c r="R49" s="60" t="str">
        <f aca="false">IF('Country Data'!$A$52="","",'Country Data'!$A$52)</f>
        <v/>
      </c>
      <c r="S49" s="60" t="str">
        <f aca="false">IF(LEN(R49)=0,"",SUMPRODUCT(--(LEN(R$2:R49)&gt;0)))</f>
        <v/>
      </c>
      <c r="T49" s="60" t="str">
        <f aca="false">IFERROR(INDEX(R$2:R$81,MATCH(ROW()-1,S$2:S$81,0)),"")</f>
        <v/>
      </c>
      <c r="AM49" s="60" t="str">
        <f aca="false">IF(Templates!$E$52="","",IF(OR(Templates!$F$52="x",IFERROR(INDEX(Templates!$G$52:$L$52,MATCH(TripType,Templates!$G$4:$L$4,0))="x",FALSE())),Templates!$E$52,""))</f>
        <v/>
      </c>
      <c r="AN49" s="60" t="str">
        <f aca="false">IF(LEN(AM49)=0,"",SUMPRODUCT(--(LEN(AM$2:AM49)&gt;0)))</f>
        <v/>
      </c>
      <c r="AO49" s="60" t="str">
        <f aca="false">IFERROR(INDEX(AM$2:AM$81,MATCH(ROW()-1,AN$2:AN$81,0)),"")</f>
        <v/>
      </c>
      <c r="BH49" s="60" t="n">
        <f aca="false">ROUND(MAX(0,MIN(BE6,BF9)-MAX(BE6-BC6,BF9-BD9)),0)</f>
        <v>0</v>
      </c>
      <c r="BI49" s="60" t="str">
        <f aca="false">IF(BH49&gt;=1,BA6&amp;" pays "&amp;BA9,"")</f>
        <v/>
      </c>
      <c r="BJ49" s="60" t="str">
        <f aca="false">IF(BI49="","",COUNTIF($BH$2:BH49,"&gt;=1"))</f>
        <v/>
      </c>
      <c r="BK49" s="60" t="str">
        <f aca="false">IFERROR(INDEX($BI$2:$BI$101,MATCH(48,$BJ$2:$BJ$101,0)),"")</f>
        <v/>
      </c>
      <c r="BL49" s="60" t="str">
        <f aca="false">IFERROR(INDEX($BH$2:$BH$101,MATCH(48,$BJ$2:$BJ$101,0)),"")</f>
        <v/>
      </c>
    </row>
    <row r="50" customFormat="false" ht="15" hidden="false" customHeight="false" outlineLevel="0" collapsed="false">
      <c r="R50" s="60" t="str">
        <f aca="false">IF('Country Data'!$A$53="","",'Country Data'!$A$53)</f>
        <v/>
      </c>
      <c r="S50" s="60" t="str">
        <f aca="false">IF(LEN(R50)=0,"",SUMPRODUCT(--(LEN(R$2:R50)&gt;0)))</f>
        <v/>
      </c>
      <c r="T50" s="60" t="str">
        <f aca="false">IFERROR(INDEX(R$2:R$81,MATCH(ROW()-1,S$2:S$81,0)),"")</f>
        <v/>
      </c>
      <c r="AM50" s="60" t="str">
        <f aca="false">IF(Templates!$E$53="","",IF(OR(Templates!$F$53="x",IFERROR(INDEX(Templates!$G$53:$L$53,MATCH(TripType,Templates!$G$4:$L$4,0))="x",FALSE())),Templates!$E$53,""))</f>
        <v/>
      </c>
      <c r="AN50" s="60" t="str">
        <f aca="false">IF(LEN(AM50)=0,"",SUMPRODUCT(--(LEN(AM$2:AM50)&gt;0)))</f>
        <v/>
      </c>
      <c r="AO50" s="60" t="str">
        <f aca="false">IFERROR(INDEX(AM$2:AM$81,MATCH(ROW()-1,AN$2:AN$81,0)),"")</f>
        <v/>
      </c>
      <c r="BH50" s="60" t="n">
        <f aca="false">ROUND(MAX(0,MIN(BE6,BF10)-MAX(BE6-BC6,BF10-BD10)),0)</f>
        <v>0</v>
      </c>
      <c r="BI50" s="60" t="str">
        <f aca="false">IF(BH50&gt;=1,BA6&amp;" pays "&amp;BA10,"")</f>
        <v/>
      </c>
      <c r="BJ50" s="60" t="str">
        <f aca="false">IF(BI50="","",COUNTIF($BH$2:BH50,"&gt;=1"))</f>
        <v/>
      </c>
      <c r="BK50" s="60" t="str">
        <f aca="false">IFERROR(INDEX($BI$2:$BI$101,MATCH(49,$BJ$2:$BJ$101,0)),"")</f>
        <v/>
      </c>
      <c r="BL50" s="60" t="str">
        <f aca="false">IFERROR(INDEX($BH$2:$BH$101,MATCH(49,$BJ$2:$BJ$101,0)),"")</f>
        <v/>
      </c>
    </row>
    <row r="51" customFormat="false" ht="15" hidden="false" customHeight="false" outlineLevel="0" collapsed="false">
      <c r="R51" s="60" t="str">
        <f aca="false">IF('Country Data'!$A$54="","",'Country Data'!$A$54)</f>
        <v/>
      </c>
      <c r="S51" s="60" t="str">
        <f aca="false">IF(LEN(R51)=0,"",SUMPRODUCT(--(LEN(R$2:R51)&gt;0)))</f>
        <v/>
      </c>
      <c r="T51" s="60" t="str">
        <f aca="false">IFERROR(INDEX(R$2:R$81,MATCH(ROW()-1,S$2:S$81,0)),"")</f>
        <v/>
      </c>
      <c r="AM51" s="60" t="str">
        <f aca="false">IF(Templates!$E$54="","",IF(OR(Templates!$F$54="x",IFERROR(INDEX(Templates!$G$54:$L$54,MATCH(TripType,Templates!$G$4:$L$4,0))="x",FALSE())),Templates!$E$54,""))</f>
        <v/>
      </c>
      <c r="AN51" s="60" t="str">
        <f aca="false">IF(LEN(AM51)=0,"",SUMPRODUCT(--(LEN(AM$2:AM51)&gt;0)))</f>
        <v/>
      </c>
      <c r="AO51" s="60" t="str">
        <f aca="false">IFERROR(INDEX(AM$2:AM$81,MATCH(ROW()-1,AN$2:AN$81,0)),"")</f>
        <v/>
      </c>
      <c r="BH51" s="60" t="n">
        <f aca="false">ROUND(MAX(0,MIN(BE6,BF11)-MAX(BE6-BC6,BF11-BD11)),0)</f>
        <v>0</v>
      </c>
      <c r="BI51" s="60" t="str">
        <f aca="false">IF(BH51&gt;=1,BA6&amp;" pays "&amp;BA11,"")</f>
        <v/>
      </c>
      <c r="BJ51" s="60" t="str">
        <f aca="false">IF(BI51="","",COUNTIF($BH$2:BH51,"&gt;=1"))</f>
        <v/>
      </c>
      <c r="BK51" s="60" t="str">
        <f aca="false">IFERROR(INDEX($BI$2:$BI$101,MATCH(50,$BJ$2:$BJ$101,0)),"")</f>
        <v/>
      </c>
      <c r="BL51" s="60" t="str">
        <f aca="false">IFERROR(INDEX($BH$2:$BH$101,MATCH(50,$BJ$2:$BJ$101,0)),"")</f>
        <v/>
      </c>
    </row>
    <row r="52" customFormat="false" ht="15" hidden="false" customHeight="false" outlineLevel="0" collapsed="false">
      <c r="R52" s="60" t="str">
        <f aca="false">IF('Country Data'!$A$55="","",'Country Data'!$A$55)</f>
        <v/>
      </c>
      <c r="S52" s="60" t="str">
        <f aca="false">IF(LEN(R52)=0,"",SUMPRODUCT(--(LEN(R$2:R52)&gt;0)))</f>
        <v/>
      </c>
      <c r="T52" s="60" t="str">
        <f aca="false">IFERROR(INDEX(R$2:R$81,MATCH(ROW()-1,S$2:S$81,0)),"")</f>
        <v/>
      </c>
      <c r="AM52" s="60" t="str">
        <f aca="false">IF(Templates!$E$55="","",IF(OR(Templates!$F$55="x",IFERROR(INDEX(Templates!$G$55:$L$55,MATCH(TripType,Templates!$G$4:$L$4,0))="x",FALSE())),Templates!$E$55,""))</f>
        <v/>
      </c>
      <c r="AN52" s="60" t="str">
        <f aca="false">IF(LEN(AM52)=0,"",SUMPRODUCT(--(LEN(AM$2:AM52)&gt;0)))</f>
        <v/>
      </c>
      <c r="AO52" s="60" t="str">
        <f aca="false">IFERROR(INDEX(AM$2:AM$81,MATCH(ROW()-1,AN$2:AN$81,0)),"")</f>
        <v/>
      </c>
      <c r="BH52" s="60" t="n">
        <f aca="false">ROUND(MAX(0,MIN(BE7,BF2)-MAX(BE7-BC7,BF2-BD2)),0)</f>
        <v>0</v>
      </c>
      <c r="BI52" s="60" t="str">
        <f aca="false">IF(BH52&gt;=1,BA7&amp;" pays "&amp;BA2,"")</f>
        <v/>
      </c>
      <c r="BJ52" s="60" t="str">
        <f aca="false">IF(BI52="","",COUNTIF($BH$2:BH52,"&gt;=1"))</f>
        <v/>
      </c>
      <c r="BK52" s="60" t="str">
        <f aca="false">IFERROR(INDEX($BI$2:$BI$101,MATCH(51,$BJ$2:$BJ$101,0)),"")</f>
        <v/>
      </c>
      <c r="BL52" s="60" t="str">
        <f aca="false">IFERROR(INDEX($BH$2:$BH$101,MATCH(51,$BJ$2:$BJ$101,0)),"")</f>
        <v/>
      </c>
    </row>
    <row r="53" customFormat="false" ht="15" hidden="false" customHeight="false" outlineLevel="0" collapsed="false">
      <c r="R53" s="60" t="str">
        <f aca="false">IF('Country Data'!$A$56="","",'Country Data'!$A$56)</f>
        <v/>
      </c>
      <c r="S53" s="60" t="str">
        <f aca="false">IF(LEN(R53)=0,"",SUMPRODUCT(--(LEN(R$2:R53)&gt;0)))</f>
        <v/>
      </c>
      <c r="T53" s="60" t="str">
        <f aca="false">IFERROR(INDEX(R$2:R$81,MATCH(ROW()-1,S$2:S$81,0)),"")</f>
        <v/>
      </c>
      <c r="AM53" s="60" t="str">
        <f aca="false">IF(Templates!$E$56="","",IF(OR(Templates!$F$56="x",IFERROR(INDEX(Templates!$G$56:$L$56,MATCH(TripType,Templates!$G$4:$L$4,0))="x",FALSE())),Templates!$E$56,""))</f>
        <v/>
      </c>
      <c r="AN53" s="60" t="str">
        <f aca="false">IF(LEN(AM53)=0,"",SUMPRODUCT(--(LEN(AM$2:AM53)&gt;0)))</f>
        <v/>
      </c>
      <c r="AO53" s="60" t="str">
        <f aca="false">IFERROR(INDEX(AM$2:AM$81,MATCH(ROW()-1,AN$2:AN$81,0)),"")</f>
        <v/>
      </c>
      <c r="BH53" s="60" t="n">
        <f aca="false">ROUND(MAX(0,MIN(BE7,BF3)-MAX(BE7-BC7,BF3-BD3)),0)</f>
        <v>0</v>
      </c>
      <c r="BI53" s="60" t="str">
        <f aca="false">IF(BH53&gt;=1,BA7&amp;" pays "&amp;BA3,"")</f>
        <v/>
      </c>
      <c r="BJ53" s="60" t="str">
        <f aca="false">IF(BI53="","",COUNTIF($BH$2:BH53,"&gt;=1"))</f>
        <v/>
      </c>
      <c r="BK53" s="60" t="str">
        <f aca="false">IFERROR(INDEX($BI$2:$BI$101,MATCH(52,$BJ$2:$BJ$101,0)),"")</f>
        <v/>
      </c>
      <c r="BL53" s="60" t="str">
        <f aca="false">IFERROR(INDEX($BH$2:$BH$101,MATCH(52,$BJ$2:$BJ$101,0)),"")</f>
        <v/>
      </c>
    </row>
    <row r="54" customFormat="false" ht="15" hidden="false" customHeight="false" outlineLevel="0" collapsed="false">
      <c r="R54" s="60" t="str">
        <f aca="false">IF('Country Data'!$A$57="","",'Country Data'!$A$57)</f>
        <v/>
      </c>
      <c r="S54" s="60" t="str">
        <f aca="false">IF(LEN(R54)=0,"",SUMPRODUCT(--(LEN(R$2:R54)&gt;0)))</f>
        <v/>
      </c>
      <c r="T54" s="60" t="str">
        <f aca="false">IFERROR(INDEX(R$2:R$81,MATCH(ROW()-1,S$2:S$81,0)),"")</f>
        <v/>
      </c>
      <c r="AM54" s="60" t="str">
        <f aca="false">IF(Templates!$E$57="","",IF(OR(Templates!$F$57="x",IFERROR(INDEX(Templates!$G$57:$L$57,MATCH(TripType,Templates!$G$4:$L$4,0))="x",FALSE())),Templates!$E$57,""))</f>
        <v/>
      </c>
      <c r="AN54" s="60" t="str">
        <f aca="false">IF(LEN(AM54)=0,"",SUMPRODUCT(--(LEN(AM$2:AM54)&gt;0)))</f>
        <v/>
      </c>
      <c r="AO54" s="60" t="str">
        <f aca="false">IFERROR(INDEX(AM$2:AM$81,MATCH(ROW()-1,AN$2:AN$81,0)),"")</f>
        <v/>
      </c>
      <c r="BH54" s="60" t="n">
        <f aca="false">ROUND(MAX(0,MIN(BE7,BF4)-MAX(BE7-BC7,BF4-BD4)),0)</f>
        <v>0</v>
      </c>
      <c r="BI54" s="60" t="str">
        <f aca="false">IF(BH54&gt;=1,BA7&amp;" pays "&amp;BA4,"")</f>
        <v/>
      </c>
      <c r="BJ54" s="60" t="str">
        <f aca="false">IF(BI54="","",COUNTIF($BH$2:BH54,"&gt;=1"))</f>
        <v/>
      </c>
      <c r="BK54" s="60" t="str">
        <f aca="false">IFERROR(INDEX($BI$2:$BI$101,MATCH(53,$BJ$2:$BJ$101,0)),"")</f>
        <v/>
      </c>
      <c r="BL54" s="60" t="str">
        <f aca="false">IFERROR(INDEX($BH$2:$BH$101,MATCH(53,$BJ$2:$BJ$101,0)),"")</f>
        <v/>
      </c>
    </row>
    <row r="55" customFormat="false" ht="15" hidden="false" customHeight="false" outlineLevel="0" collapsed="false">
      <c r="R55" s="60" t="str">
        <f aca="false">IF('Country Data'!$A$58="","",'Country Data'!$A$58)</f>
        <v/>
      </c>
      <c r="S55" s="60" t="str">
        <f aca="false">IF(LEN(R55)=0,"",SUMPRODUCT(--(LEN(R$2:R55)&gt;0)))</f>
        <v/>
      </c>
      <c r="T55" s="60" t="str">
        <f aca="false">IFERROR(INDEX(R$2:R$81,MATCH(ROW()-1,S$2:S$81,0)),"")</f>
        <v/>
      </c>
      <c r="AM55" s="60" t="str">
        <f aca="false">IF(Templates!$E$58="","",IF(OR(Templates!$F$58="x",IFERROR(INDEX(Templates!$G$58:$L$58,MATCH(TripType,Templates!$G$4:$L$4,0))="x",FALSE())),Templates!$E$58,""))</f>
        <v/>
      </c>
      <c r="AN55" s="60" t="str">
        <f aca="false">IF(LEN(AM55)=0,"",SUMPRODUCT(--(LEN(AM$2:AM55)&gt;0)))</f>
        <v/>
      </c>
      <c r="AO55" s="60" t="str">
        <f aca="false">IFERROR(INDEX(AM$2:AM$81,MATCH(ROW()-1,AN$2:AN$81,0)),"")</f>
        <v/>
      </c>
      <c r="BH55" s="60" t="n">
        <f aca="false">ROUND(MAX(0,MIN(BE7,BF5)-MAX(BE7-BC7,BF5-BD5)),0)</f>
        <v>0</v>
      </c>
      <c r="BI55" s="60" t="str">
        <f aca="false">IF(BH55&gt;=1,BA7&amp;" pays "&amp;BA5,"")</f>
        <v/>
      </c>
      <c r="BJ55" s="60" t="str">
        <f aca="false">IF(BI55="","",COUNTIF($BH$2:BH55,"&gt;=1"))</f>
        <v/>
      </c>
      <c r="BK55" s="60" t="str">
        <f aca="false">IFERROR(INDEX($BI$2:$BI$101,MATCH(54,$BJ$2:$BJ$101,0)),"")</f>
        <v/>
      </c>
      <c r="BL55" s="60" t="str">
        <f aca="false">IFERROR(INDEX($BH$2:$BH$101,MATCH(54,$BJ$2:$BJ$101,0)),"")</f>
        <v/>
      </c>
    </row>
    <row r="56" customFormat="false" ht="15" hidden="false" customHeight="false" outlineLevel="0" collapsed="false">
      <c r="R56" s="60" t="str">
        <f aca="false">IF('Country Data'!$A$59="","",'Country Data'!$A$59)</f>
        <v/>
      </c>
      <c r="S56" s="60" t="str">
        <f aca="false">IF(LEN(R56)=0,"",SUMPRODUCT(--(LEN(R$2:R56)&gt;0)))</f>
        <v/>
      </c>
      <c r="T56" s="60" t="str">
        <f aca="false">IFERROR(INDEX(R$2:R$81,MATCH(ROW()-1,S$2:S$81,0)),"")</f>
        <v/>
      </c>
      <c r="AM56" s="60" t="str">
        <f aca="false">IF(Templates!$E$59="","",IF(OR(Templates!$F$59="x",IFERROR(INDEX(Templates!$G$59:$L$59,MATCH(TripType,Templates!$G$4:$L$4,0))="x",FALSE())),Templates!$E$59,""))</f>
        <v/>
      </c>
      <c r="AN56" s="60" t="str">
        <f aca="false">IF(LEN(AM56)=0,"",SUMPRODUCT(--(LEN(AM$2:AM56)&gt;0)))</f>
        <v/>
      </c>
      <c r="AO56" s="60" t="str">
        <f aca="false">IFERROR(INDEX(AM$2:AM$81,MATCH(ROW()-1,AN$2:AN$81,0)),"")</f>
        <v/>
      </c>
      <c r="BH56" s="60" t="n">
        <f aca="false">ROUND(MAX(0,MIN(BE7,BF6)-MAX(BE7-BC7,BF6-BD6)),0)</f>
        <v>0</v>
      </c>
      <c r="BI56" s="60" t="str">
        <f aca="false">IF(BH56&gt;=1,BA7&amp;" pays "&amp;BA6,"")</f>
        <v/>
      </c>
      <c r="BJ56" s="60" t="str">
        <f aca="false">IF(BI56="","",COUNTIF($BH$2:BH56,"&gt;=1"))</f>
        <v/>
      </c>
      <c r="BK56" s="60" t="str">
        <f aca="false">IFERROR(INDEX($BI$2:$BI$101,MATCH(55,$BJ$2:$BJ$101,0)),"")</f>
        <v/>
      </c>
      <c r="BL56" s="60" t="str">
        <f aca="false">IFERROR(INDEX($BH$2:$BH$101,MATCH(55,$BJ$2:$BJ$101,0)),"")</f>
        <v/>
      </c>
    </row>
    <row r="57" customFormat="false" ht="15" hidden="false" customHeight="false" outlineLevel="0" collapsed="false">
      <c r="R57" s="60" t="str">
        <f aca="false">IF('Country Data'!$A$60="","",'Country Data'!$A$60)</f>
        <v/>
      </c>
      <c r="S57" s="60" t="str">
        <f aca="false">IF(LEN(R57)=0,"",SUMPRODUCT(--(LEN(R$2:R57)&gt;0)))</f>
        <v/>
      </c>
      <c r="T57" s="60" t="str">
        <f aca="false">IFERROR(INDEX(R$2:R$81,MATCH(ROW()-1,S$2:S$81,0)),"")</f>
        <v/>
      </c>
      <c r="AM57" s="60" t="str">
        <f aca="false">IF(Templates!$E$60="","",IF(OR(Templates!$F$60="x",IFERROR(INDEX(Templates!$G$60:$L$60,MATCH(TripType,Templates!$G$4:$L$4,0))="x",FALSE())),Templates!$E$60,""))</f>
        <v/>
      </c>
      <c r="AN57" s="60" t="str">
        <f aca="false">IF(LEN(AM57)=0,"",SUMPRODUCT(--(LEN(AM$2:AM57)&gt;0)))</f>
        <v/>
      </c>
      <c r="AO57" s="60" t="str">
        <f aca="false">IFERROR(INDEX(AM$2:AM$81,MATCH(ROW()-1,AN$2:AN$81,0)),"")</f>
        <v/>
      </c>
      <c r="BH57" s="60" t="n">
        <f aca="false">ROUND(MAX(0,MIN(BE7,BF7)-MAX(BE7-BC7,BF7-BD7)),0)</f>
        <v>0</v>
      </c>
      <c r="BI57" s="60" t="str">
        <f aca="false">IF(BH57&gt;=1,BA7&amp;" pays "&amp;BA7,"")</f>
        <v/>
      </c>
      <c r="BJ57" s="60" t="str">
        <f aca="false">IF(BI57="","",COUNTIF($BH$2:BH57,"&gt;=1"))</f>
        <v/>
      </c>
      <c r="BK57" s="60" t="str">
        <f aca="false">IFERROR(INDEX($BI$2:$BI$101,MATCH(56,$BJ$2:$BJ$101,0)),"")</f>
        <v/>
      </c>
      <c r="BL57" s="60" t="str">
        <f aca="false">IFERROR(INDEX($BH$2:$BH$101,MATCH(56,$BJ$2:$BJ$101,0)),"")</f>
        <v/>
      </c>
    </row>
    <row r="58" customFormat="false" ht="15" hidden="false" customHeight="false" outlineLevel="0" collapsed="false">
      <c r="R58" s="60" t="str">
        <f aca="false">IF('Country Data'!$A$61="","",'Country Data'!$A$61)</f>
        <v/>
      </c>
      <c r="S58" s="60" t="str">
        <f aca="false">IF(LEN(R58)=0,"",SUMPRODUCT(--(LEN(R$2:R58)&gt;0)))</f>
        <v/>
      </c>
      <c r="T58" s="60" t="str">
        <f aca="false">IFERROR(INDEX(R$2:R$81,MATCH(ROW()-1,S$2:S$81,0)),"")</f>
        <v/>
      </c>
      <c r="AM58" s="60" t="str">
        <f aca="false">IF(Templates!$E$61="","",IF(OR(Templates!$F$61="x",IFERROR(INDEX(Templates!$G$61:$L$61,MATCH(TripType,Templates!$G$4:$L$4,0))="x",FALSE())),Templates!$E$61,""))</f>
        <v/>
      </c>
      <c r="AN58" s="60" t="str">
        <f aca="false">IF(LEN(AM58)=0,"",SUMPRODUCT(--(LEN(AM$2:AM58)&gt;0)))</f>
        <v/>
      </c>
      <c r="AO58" s="60" t="str">
        <f aca="false">IFERROR(INDEX(AM$2:AM$81,MATCH(ROW()-1,AN$2:AN$81,0)),"")</f>
        <v/>
      </c>
      <c r="BH58" s="60" t="n">
        <f aca="false">ROUND(MAX(0,MIN(BE7,BF8)-MAX(BE7-BC7,BF8-BD8)),0)</f>
        <v>0</v>
      </c>
      <c r="BI58" s="60" t="str">
        <f aca="false">IF(BH58&gt;=1,BA7&amp;" pays "&amp;BA8,"")</f>
        <v/>
      </c>
      <c r="BJ58" s="60" t="str">
        <f aca="false">IF(BI58="","",COUNTIF($BH$2:BH58,"&gt;=1"))</f>
        <v/>
      </c>
      <c r="BK58" s="60" t="str">
        <f aca="false">IFERROR(INDEX($BI$2:$BI$101,MATCH(57,$BJ$2:$BJ$101,0)),"")</f>
        <v/>
      </c>
      <c r="BL58" s="60" t="str">
        <f aca="false">IFERROR(INDEX($BH$2:$BH$101,MATCH(57,$BJ$2:$BJ$101,0)),"")</f>
        <v/>
      </c>
    </row>
    <row r="59" customFormat="false" ht="15" hidden="false" customHeight="false" outlineLevel="0" collapsed="false">
      <c r="R59" s="60" t="str">
        <f aca="false">IF('Country Data'!$A$62="","",'Country Data'!$A$62)</f>
        <v/>
      </c>
      <c r="S59" s="60" t="str">
        <f aca="false">IF(LEN(R59)=0,"",SUMPRODUCT(--(LEN(R$2:R59)&gt;0)))</f>
        <v/>
      </c>
      <c r="T59" s="60" t="str">
        <f aca="false">IFERROR(INDEX(R$2:R$81,MATCH(ROW()-1,S$2:S$81,0)),"")</f>
        <v/>
      </c>
      <c r="AM59" s="60" t="str">
        <f aca="false">IF(Templates!$E$62="","",IF(OR(Templates!$F$62="x",IFERROR(INDEX(Templates!$G$62:$L$62,MATCH(TripType,Templates!$G$4:$L$4,0))="x",FALSE())),Templates!$E$62,""))</f>
        <v/>
      </c>
      <c r="AN59" s="60" t="str">
        <f aca="false">IF(LEN(AM59)=0,"",SUMPRODUCT(--(LEN(AM$2:AM59)&gt;0)))</f>
        <v/>
      </c>
      <c r="AO59" s="60" t="str">
        <f aca="false">IFERROR(INDEX(AM$2:AM$81,MATCH(ROW()-1,AN$2:AN$81,0)),"")</f>
        <v/>
      </c>
      <c r="BH59" s="60" t="n">
        <f aca="false">ROUND(MAX(0,MIN(BE7,BF9)-MAX(BE7-BC7,BF9-BD9)),0)</f>
        <v>0</v>
      </c>
      <c r="BI59" s="60" t="str">
        <f aca="false">IF(BH59&gt;=1,BA7&amp;" pays "&amp;BA9,"")</f>
        <v/>
      </c>
      <c r="BJ59" s="60" t="str">
        <f aca="false">IF(BI59="","",COUNTIF($BH$2:BH59,"&gt;=1"))</f>
        <v/>
      </c>
      <c r="BK59" s="60" t="str">
        <f aca="false">IFERROR(INDEX($BI$2:$BI$101,MATCH(58,$BJ$2:$BJ$101,0)),"")</f>
        <v/>
      </c>
      <c r="BL59" s="60" t="str">
        <f aca="false">IFERROR(INDEX($BH$2:$BH$101,MATCH(58,$BJ$2:$BJ$101,0)),"")</f>
        <v/>
      </c>
    </row>
    <row r="60" customFormat="false" ht="15" hidden="false" customHeight="false" outlineLevel="0" collapsed="false">
      <c r="R60" s="60" t="str">
        <f aca="false">IF('Country Data'!$A$63="","",'Country Data'!$A$63)</f>
        <v/>
      </c>
      <c r="S60" s="60" t="str">
        <f aca="false">IF(LEN(R60)=0,"",SUMPRODUCT(--(LEN(R$2:R60)&gt;0)))</f>
        <v/>
      </c>
      <c r="T60" s="60" t="str">
        <f aca="false">IFERROR(INDEX(R$2:R$81,MATCH(ROW()-1,S$2:S$81,0)),"")</f>
        <v/>
      </c>
      <c r="AM60" s="60" t="str">
        <f aca="false">IF(Templates!$E$63="","",IF(OR(Templates!$F$63="x",IFERROR(INDEX(Templates!$G$63:$L$63,MATCH(TripType,Templates!$G$4:$L$4,0))="x",FALSE())),Templates!$E$63,""))</f>
        <v/>
      </c>
      <c r="AN60" s="60" t="str">
        <f aca="false">IF(LEN(AM60)=0,"",SUMPRODUCT(--(LEN(AM$2:AM60)&gt;0)))</f>
        <v/>
      </c>
      <c r="AO60" s="60" t="str">
        <f aca="false">IFERROR(INDEX(AM$2:AM$81,MATCH(ROW()-1,AN$2:AN$81,0)),"")</f>
        <v/>
      </c>
      <c r="BH60" s="60" t="n">
        <f aca="false">ROUND(MAX(0,MIN(BE7,BF10)-MAX(BE7-BC7,BF10-BD10)),0)</f>
        <v>0</v>
      </c>
      <c r="BI60" s="60" t="str">
        <f aca="false">IF(BH60&gt;=1,BA7&amp;" pays "&amp;BA10,"")</f>
        <v/>
      </c>
      <c r="BJ60" s="60" t="str">
        <f aca="false">IF(BI60="","",COUNTIF($BH$2:BH60,"&gt;=1"))</f>
        <v/>
      </c>
      <c r="BK60" s="60" t="str">
        <f aca="false">IFERROR(INDEX($BI$2:$BI$101,MATCH(59,$BJ$2:$BJ$101,0)),"")</f>
        <v/>
      </c>
      <c r="BL60" s="60" t="str">
        <f aca="false">IFERROR(INDEX($BH$2:$BH$101,MATCH(59,$BJ$2:$BJ$101,0)),"")</f>
        <v/>
      </c>
    </row>
    <row r="61" customFormat="false" ht="15" hidden="false" customHeight="false" outlineLevel="0" collapsed="false">
      <c r="R61" s="60" t="str">
        <f aca="false">IF('Country Data'!$A$64="","",'Country Data'!$A$64)</f>
        <v/>
      </c>
      <c r="S61" s="60" t="str">
        <f aca="false">IF(LEN(R61)=0,"",SUMPRODUCT(--(LEN(R$2:R61)&gt;0)))</f>
        <v/>
      </c>
      <c r="T61" s="60" t="str">
        <f aca="false">IFERROR(INDEX(R$2:R$81,MATCH(ROW()-1,S$2:S$81,0)),"")</f>
        <v/>
      </c>
      <c r="AM61" s="60" t="str">
        <f aca="false">IF(Templates!$E$64="","",IF(OR(Templates!$F$64="x",IFERROR(INDEX(Templates!$G$64:$L$64,MATCH(TripType,Templates!$G$4:$L$4,0))="x",FALSE())),Templates!$E$64,""))</f>
        <v/>
      </c>
      <c r="AN61" s="60" t="str">
        <f aca="false">IF(LEN(AM61)=0,"",SUMPRODUCT(--(LEN(AM$2:AM61)&gt;0)))</f>
        <v/>
      </c>
      <c r="AO61" s="60" t="str">
        <f aca="false">IFERROR(INDEX(AM$2:AM$81,MATCH(ROW()-1,AN$2:AN$81,0)),"")</f>
        <v/>
      </c>
      <c r="BH61" s="60" t="n">
        <f aca="false">ROUND(MAX(0,MIN(BE7,BF11)-MAX(BE7-BC7,BF11-BD11)),0)</f>
        <v>0</v>
      </c>
      <c r="BI61" s="60" t="str">
        <f aca="false">IF(BH61&gt;=1,BA7&amp;" pays "&amp;BA11,"")</f>
        <v/>
      </c>
      <c r="BJ61" s="60" t="str">
        <f aca="false">IF(BI61="","",COUNTIF($BH$2:BH61,"&gt;=1"))</f>
        <v/>
      </c>
      <c r="BK61" s="60" t="str">
        <f aca="false">IFERROR(INDEX($BI$2:$BI$101,MATCH(60,$BJ$2:$BJ$101,0)),"")</f>
        <v/>
      </c>
      <c r="BL61" s="60" t="str">
        <f aca="false">IFERROR(INDEX($BH$2:$BH$101,MATCH(60,$BJ$2:$BJ$101,0)),"")</f>
        <v/>
      </c>
    </row>
    <row r="62" customFormat="false" ht="15" hidden="false" customHeight="false" outlineLevel="0" collapsed="false">
      <c r="R62" s="60" t="str">
        <f aca="false">IF('Country Data'!$A$65="","",'Country Data'!$A$65)</f>
        <v/>
      </c>
      <c r="S62" s="60" t="str">
        <f aca="false">IF(LEN(R62)=0,"",SUMPRODUCT(--(LEN(R$2:R62)&gt;0)))</f>
        <v/>
      </c>
      <c r="T62" s="60" t="str">
        <f aca="false">IFERROR(INDEX(R$2:R$81,MATCH(ROW()-1,S$2:S$81,0)),"")</f>
        <v/>
      </c>
      <c r="AM62" s="60" t="str">
        <f aca="false">IF(Templates!$E$65="","",IF(OR(Templates!$F$65="x",IFERROR(INDEX(Templates!$G$65:$L$65,MATCH(TripType,Templates!$G$4:$L$4,0))="x",FALSE())),Templates!$E$65,""))</f>
        <v/>
      </c>
      <c r="AN62" s="60" t="str">
        <f aca="false">IF(LEN(AM62)=0,"",SUMPRODUCT(--(LEN(AM$2:AM62)&gt;0)))</f>
        <v/>
      </c>
      <c r="AO62" s="60" t="str">
        <f aca="false">IFERROR(INDEX(AM$2:AM$81,MATCH(ROW()-1,AN$2:AN$81,0)),"")</f>
        <v/>
      </c>
      <c r="BH62" s="60" t="n">
        <f aca="false">ROUND(MAX(0,MIN(BE8,BF2)-MAX(BE8-BC8,BF2-BD2)),0)</f>
        <v>0</v>
      </c>
      <c r="BI62" s="60" t="str">
        <f aca="false">IF(BH62&gt;=1,BA8&amp;" pays "&amp;BA2,"")</f>
        <v/>
      </c>
      <c r="BJ62" s="60" t="str">
        <f aca="false">IF(BI62="","",COUNTIF($BH$2:BH62,"&gt;=1"))</f>
        <v/>
      </c>
      <c r="BK62" s="60" t="str">
        <f aca="false">IFERROR(INDEX($BI$2:$BI$101,MATCH(61,$BJ$2:$BJ$101,0)),"")</f>
        <v/>
      </c>
      <c r="BL62" s="60" t="str">
        <f aca="false">IFERROR(INDEX($BH$2:$BH$101,MATCH(61,$BJ$2:$BJ$101,0)),"")</f>
        <v/>
      </c>
    </row>
    <row r="63" customFormat="false" ht="15" hidden="false" customHeight="false" outlineLevel="0" collapsed="false">
      <c r="R63" s="60" t="str">
        <f aca="false">IF('Country Data'!$A$66="","",'Country Data'!$A$66)</f>
        <v/>
      </c>
      <c r="S63" s="60" t="str">
        <f aca="false">IF(LEN(R63)=0,"",SUMPRODUCT(--(LEN(R$2:R63)&gt;0)))</f>
        <v/>
      </c>
      <c r="T63" s="60" t="str">
        <f aca="false">IFERROR(INDEX(R$2:R$81,MATCH(ROW()-1,S$2:S$81,0)),"")</f>
        <v/>
      </c>
      <c r="AM63" s="60" t="str">
        <f aca="false">IF(Templates!$E$66="","",IF(OR(Templates!$F$66="x",IFERROR(INDEX(Templates!$G$66:$L$66,MATCH(TripType,Templates!$G$4:$L$4,0))="x",FALSE())),Templates!$E$66,""))</f>
        <v/>
      </c>
      <c r="AN63" s="60" t="str">
        <f aca="false">IF(LEN(AM63)=0,"",SUMPRODUCT(--(LEN(AM$2:AM63)&gt;0)))</f>
        <v/>
      </c>
      <c r="AO63" s="60" t="str">
        <f aca="false">IFERROR(INDEX(AM$2:AM$81,MATCH(ROW()-1,AN$2:AN$81,0)),"")</f>
        <v/>
      </c>
      <c r="BH63" s="60" t="n">
        <f aca="false">ROUND(MAX(0,MIN(BE8,BF3)-MAX(BE8-BC8,BF3-BD3)),0)</f>
        <v>0</v>
      </c>
      <c r="BI63" s="60" t="str">
        <f aca="false">IF(BH63&gt;=1,BA8&amp;" pays "&amp;BA3,"")</f>
        <v/>
      </c>
      <c r="BJ63" s="60" t="str">
        <f aca="false">IF(BI63="","",COUNTIF($BH$2:BH63,"&gt;=1"))</f>
        <v/>
      </c>
      <c r="BK63" s="60" t="str">
        <f aca="false">IFERROR(INDEX($BI$2:$BI$101,MATCH(62,$BJ$2:$BJ$101,0)),"")</f>
        <v/>
      </c>
      <c r="BL63" s="60" t="str">
        <f aca="false">IFERROR(INDEX($BH$2:$BH$101,MATCH(62,$BJ$2:$BJ$101,0)),"")</f>
        <v/>
      </c>
    </row>
    <row r="64" customFormat="false" ht="15" hidden="false" customHeight="false" outlineLevel="0" collapsed="false">
      <c r="R64" s="60" t="str">
        <f aca="false">IF('Country Data'!$A$67="","",'Country Data'!$A$67)</f>
        <v/>
      </c>
      <c r="S64" s="60" t="str">
        <f aca="false">IF(LEN(R64)=0,"",SUMPRODUCT(--(LEN(R$2:R64)&gt;0)))</f>
        <v/>
      </c>
      <c r="T64" s="60" t="str">
        <f aca="false">IFERROR(INDEX(R$2:R$81,MATCH(ROW()-1,S$2:S$81,0)),"")</f>
        <v/>
      </c>
      <c r="AM64" s="60" t="str">
        <f aca="false">IF(Templates!$E$67="","",IF(OR(Templates!$F$67="x",IFERROR(INDEX(Templates!$G$67:$L$67,MATCH(TripType,Templates!$G$4:$L$4,0))="x",FALSE())),Templates!$E$67,""))</f>
        <v/>
      </c>
      <c r="AN64" s="60" t="str">
        <f aca="false">IF(LEN(AM64)=0,"",SUMPRODUCT(--(LEN(AM$2:AM64)&gt;0)))</f>
        <v/>
      </c>
      <c r="AO64" s="60" t="str">
        <f aca="false">IFERROR(INDEX(AM$2:AM$81,MATCH(ROW()-1,AN$2:AN$81,0)),"")</f>
        <v/>
      </c>
      <c r="BH64" s="60" t="n">
        <f aca="false">ROUND(MAX(0,MIN(BE8,BF4)-MAX(BE8-BC8,BF4-BD4)),0)</f>
        <v>0</v>
      </c>
      <c r="BI64" s="60" t="str">
        <f aca="false">IF(BH64&gt;=1,BA8&amp;" pays "&amp;BA4,"")</f>
        <v/>
      </c>
      <c r="BJ64" s="60" t="str">
        <f aca="false">IF(BI64="","",COUNTIF($BH$2:BH64,"&gt;=1"))</f>
        <v/>
      </c>
      <c r="BK64" s="60" t="str">
        <f aca="false">IFERROR(INDEX($BI$2:$BI$101,MATCH(63,$BJ$2:$BJ$101,0)),"")</f>
        <v/>
      </c>
      <c r="BL64" s="60" t="str">
        <f aca="false">IFERROR(INDEX($BH$2:$BH$101,MATCH(63,$BJ$2:$BJ$101,0)),"")</f>
        <v/>
      </c>
    </row>
    <row r="65" customFormat="false" ht="15" hidden="false" customHeight="false" outlineLevel="0" collapsed="false">
      <c r="R65" s="60" t="str">
        <f aca="false">IF('Country Data'!$A$68="","",'Country Data'!$A$68)</f>
        <v/>
      </c>
      <c r="S65" s="60" t="str">
        <f aca="false">IF(LEN(R65)=0,"",SUMPRODUCT(--(LEN(R$2:R65)&gt;0)))</f>
        <v/>
      </c>
      <c r="T65" s="60" t="str">
        <f aca="false">IFERROR(INDEX(R$2:R$81,MATCH(ROW()-1,S$2:S$81,0)),"")</f>
        <v/>
      </c>
      <c r="AM65" s="60" t="str">
        <f aca="false">IF(Templates!$E$68="","",IF(OR(Templates!$F$68="x",IFERROR(INDEX(Templates!$G$68:$L$68,MATCH(TripType,Templates!$G$4:$L$4,0))="x",FALSE())),Templates!$E$68,""))</f>
        <v/>
      </c>
      <c r="AN65" s="60" t="str">
        <f aca="false">IF(LEN(AM65)=0,"",SUMPRODUCT(--(LEN(AM$2:AM65)&gt;0)))</f>
        <v/>
      </c>
      <c r="AO65" s="60" t="str">
        <f aca="false">IFERROR(INDEX(AM$2:AM$81,MATCH(ROW()-1,AN$2:AN$81,0)),"")</f>
        <v/>
      </c>
      <c r="BH65" s="60" t="n">
        <f aca="false">ROUND(MAX(0,MIN(BE8,BF5)-MAX(BE8-BC8,BF5-BD5)),0)</f>
        <v>0</v>
      </c>
      <c r="BI65" s="60" t="str">
        <f aca="false">IF(BH65&gt;=1,BA8&amp;" pays "&amp;BA5,"")</f>
        <v/>
      </c>
      <c r="BJ65" s="60" t="str">
        <f aca="false">IF(BI65="","",COUNTIF($BH$2:BH65,"&gt;=1"))</f>
        <v/>
      </c>
      <c r="BK65" s="60" t="str">
        <f aca="false">IFERROR(INDEX($BI$2:$BI$101,MATCH(64,$BJ$2:$BJ$101,0)),"")</f>
        <v/>
      </c>
      <c r="BL65" s="60" t="str">
        <f aca="false">IFERROR(INDEX($BH$2:$BH$101,MATCH(64,$BJ$2:$BJ$101,0)),"")</f>
        <v/>
      </c>
    </row>
    <row r="66" customFormat="false" ht="15" hidden="false" customHeight="false" outlineLevel="0" collapsed="false">
      <c r="R66" s="60" t="str">
        <f aca="false">IF('Country Data'!$A$69="","",'Country Data'!$A$69)</f>
        <v/>
      </c>
      <c r="S66" s="60" t="str">
        <f aca="false">IF(LEN(R66)=0,"",SUMPRODUCT(--(LEN(R$2:R66)&gt;0)))</f>
        <v/>
      </c>
      <c r="T66" s="60" t="str">
        <f aca="false">IFERROR(INDEX(R$2:R$81,MATCH(ROW()-1,S$2:S$81,0)),"")</f>
        <v/>
      </c>
      <c r="AM66" s="60" t="str">
        <f aca="false">IF(Templates!$E$69="","",IF(OR(Templates!$F$69="x",IFERROR(INDEX(Templates!$G$69:$L$69,MATCH(TripType,Templates!$G$4:$L$4,0))="x",FALSE())),Templates!$E$69,""))</f>
        <v/>
      </c>
      <c r="AN66" s="60" t="str">
        <f aca="false">IF(LEN(AM66)=0,"",SUMPRODUCT(--(LEN(AM$2:AM66)&gt;0)))</f>
        <v/>
      </c>
      <c r="AO66" s="60" t="str">
        <f aca="false">IFERROR(INDEX(AM$2:AM$81,MATCH(ROW()-1,AN$2:AN$81,0)),"")</f>
        <v/>
      </c>
      <c r="BH66" s="60" t="n">
        <f aca="false">ROUND(MAX(0,MIN(BE8,BF6)-MAX(BE8-BC8,BF6-BD6)),0)</f>
        <v>0</v>
      </c>
      <c r="BI66" s="60" t="str">
        <f aca="false">IF(BH66&gt;=1,BA8&amp;" pays "&amp;BA6,"")</f>
        <v/>
      </c>
      <c r="BJ66" s="60" t="str">
        <f aca="false">IF(BI66="","",COUNTIF($BH$2:BH66,"&gt;=1"))</f>
        <v/>
      </c>
      <c r="BK66" s="60" t="str">
        <f aca="false">IFERROR(INDEX($BI$2:$BI$101,MATCH(65,$BJ$2:$BJ$101,0)),"")</f>
        <v/>
      </c>
      <c r="BL66" s="60" t="str">
        <f aca="false">IFERROR(INDEX($BH$2:$BH$101,MATCH(65,$BJ$2:$BJ$101,0)),"")</f>
        <v/>
      </c>
    </row>
    <row r="67" customFormat="false" ht="15" hidden="false" customHeight="false" outlineLevel="0" collapsed="false">
      <c r="R67" s="60" t="str">
        <f aca="false">IF('Country Data'!$A$70="","",'Country Data'!$A$70)</f>
        <v/>
      </c>
      <c r="S67" s="60" t="str">
        <f aca="false">IF(LEN(R67)=0,"",SUMPRODUCT(--(LEN(R$2:R67)&gt;0)))</f>
        <v/>
      </c>
      <c r="T67" s="60" t="str">
        <f aca="false">IFERROR(INDEX(R$2:R$81,MATCH(ROW()-1,S$2:S$81,0)),"")</f>
        <v/>
      </c>
      <c r="AM67" s="60" t="str">
        <f aca="false">IF(Templates!$E$70="","",IF(OR(Templates!$F$70="x",IFERROR(INDEX(Templates!$G$70:$L$70,MATCH(TripType,Templates!$G$4:$L$4,0))="x",FALSE())),Templates!$E$70,""))</f>
        <v/>
      </c>
      <c r="AN67" s="60" t="str">
        <f aca="false">IF(LEN(AM67)=0,"",SUMPRODUCT(--(LEN(AM$2:AM67)&gt;0)))</f>
        <v/>
      </c>
      <c r="AO67" s="60" t="str">
        <f aca="false">IFERROR(INDEX(AM$2:AM$81,MATCH(ROW()-1,AN$2:AN$81,0)),"")</f>
        <v/>
      </c>
      <c r="BH67" s="60" t="n">
        <f aca="false">ROUND(MAX(0,MIN(BE8,BF7)-MAX(BE8-BC8,BF7-BD7)),0)</f>
        <v>0</v>
      </c>
      <c r="BI67" s="60" t="str">
        <f aca="false">IF(BH67&gt;=1,BA8&amp;" pays "&amp;BA7,"")</f>
        <v/>
      </c>
      <c r="BJ67" s="60" t="str">
        <f aca="false">IF(BI67="","",COUNTIF($BH$2:BH67,"&gt;=1"))</f>
        <v/>
      </c>
      <c r="BK67" s="60" t="str">
        <f aca="false">IFERROR(INDEX($BI$2:$BI$101,MATCH(66,$BJ$2:$BJ$101,0)),"")</f>
        <v/>
      </c>
      <c r="BL67" s="60" t="str">
        <f aca="false">IFERROR(INDEX($BH$2:$BH$101,MATCH(66,$BJ$2:$BJ$101,0)),"")</f>
        <v/>
      </c>
    </row>
    <row r="68" customFormat="false" ht="15" hidden="false" customHeight="false" outlineLevel="0" collapsed="false">
      <c r="R68" s="60" t="str">
        <f aca="false">IF('Country Data'!$A$71="","",'Country Data'!$A$71)</f>
        <v/>
      </c>
      <c r="S68" s="60" t="str">
        <f aca="false">IF(LEN(R68)=0,"",SUMPRODUCT(--(LEN(R$2:R68)&gt;0)))</f>
        <v/>
      </c>
      <c r="T68" s="60" t="str">
        <f aca="false">IFERROR(INDEX(R$2:R$81,MATCH(ROW()-1,S$2:S$81,0)),"")</f>
        <v/>
      </c>
      <c r="AM68" s="60" t="str">
        <f aca="false">IF(Templates!$E$71="","",IF(OR(Templates!$F$71="x",IFERROR(INDEX(Templates!$G$71:$L$71,MATCH(TripType,Templates!$G$4:$L$4,0))="x",FALSE())),Templates!$E$71,""))</f>
        <v/>
      </c>
      <c r="AN68" s="60" t="str">
        <f aca="false">IF(LEN(AM68)=0,"",SUMPRODUCT(--(LEN(AM$2:AM68)&gt;0)))</f>
        <v/>
      </c>
      <c r="AO68" s="60" t="str">
        <f aca="false">IFERROR(INDEX(AM$2:AM$81,MATCH(ROW()-1,AN$2:AN$81,0)),"")</f>
        <v/>
      </c>
      <c r="BH68" s="60" t="n">
        <f aca="false">ROUND(MAX(0,MIN(BE8,BF8)-MAX(BE8-BC8,BF8-BD8)),0)</f>
        <v>0</v>
      </c>
      <c r="BI68" s="60" t="str">
        <f aca="false">IF(BH68&gt;=1,BA8&amp;" pays "&amp;BA8,"")</f>
        <v/>
      </c>
      <c r="BJ68" s="60" t="str">
        <f aca="false">IF(BI68="","",COUNTIF($BH$2:BH68,"&gt;=1"))</f>
        <v/>
      </c>
      <c r="BK68" s="60" t="str">
        <f aca="false">IFERROR(INDEX($BI$2:$BI$101,MATCH(67,$BJ$2:$BJ$101,0)),"")</f>
        <v/>
      </c>
      <c r="BL68" s="60" t="str">
        <f aca="false">IFERROR(INDEX($BH$2:$BH$101,MATCH(67,$BJ$2:$BJ$101,0)),"")</f>
        <v/>
      </c>
    </row>
    <row r="69" customFormat="false" ht="15" hidden="false" customHeight="false" outlineLevel="0" collapsed="false">
      <c r="R69" s="60" t="str">
        <f aca="false">IF('Country Data'!$A$72="","",'Country Data'!$A$72)</f>
        <v/>
      </c>
      <c r="S69" s="60" t="str">
        <f aca="false">IF(LEN(R69)=0,"",SUMPRODUCT(--(LEN(R$2:R69)&gt;0)))</f>
        <v/>
      </c>
      <c r="T69" s="60" t="str">
        <f aca="false">IFERROR(INDEX(R$2:R$81,MATCH(ROW()-1,S$2:S$81,0)),"")</f>
        <v/>
      </c>
      <c r="AM69" s="60" t="str">
        <f aca="false">IF(Templates!$E$72="","",IF(OR(Templates!$F$72="x",IFERROR(INDEX(Templates!$G$72:$L$72,MATCH(TripType,Templates!$G$4:$L$4,0))="x",FALSE())),Templates!$E$72,""))</f>
        <v/>
      </c>
      <c r="AN69" s="60" t="str">
        <f aca="false">IF(LEN(AM69)=0,"",SUMPRODUCT(--(LEN(AM$2:AM69)&gt;0)))</f>
        <v/>
      </c>
      <c r="AO69" s="60" t="str">
        <f aca="false">IFERROR(INDEX(AM$2:AM$81,MATCH(ROW()-1,AN$2:AN$81,0)),"")</f>
        <v/>
      </c>
      <c r="BH69" s="60" t="n">
        <f aca="false">ROUND(MAX(0,MIN(BE8,BF9)-MAX(BE8-BC8,BF9-BD9)),0)</f>
        <v>0</v>
      </c>
      <c r="BI69" s="60" t="str">
        <f aca="false">IF(BH69&gt;=1,BA8&amp;" pays "&amp;BA9,"")</f>
        <v/>
      </c>
      <c r="BJ69" s="60" t="str">
        <f aca="false">IF(BI69="","",COUNTIF($BH$2:BH69,"&gt;=1"))</f>
        <v/>
      </c>
      <c r="BK69" s="60" t="str">
        <f aca="false">IFERROR(INDEX($BI$2:$BI$101,MATCH(68,$BJ$2:$BJ$101,0)),"")</f>
        <v/>
      </c>
      <c r="BL69" s="60" t="str">
        <f aca="false">IFERROR(INDEX($BH$2:$BH$101,MATCH(68,$BJ$2:$BJ$101,0)),"")</f>
        <v/>
      </c>
    </row>
    <row r="70" customFormat="false" ht="15" hidden="false" customHeight="false" outlineLevel="0" collapsed="false">
      <c r="R70" s="60" t="str">
        <f aca="false">IF('Country Data'!$A$73="","",'Country Data'!$A$73)</f>
        <v/>
      </c>
      <c r="S70" s="60" t="str">
        <f aca="false">IF(LEN(R70)=0,"",SUMPRODUCT(--(LEN(R$2:R70)&gt;0)))</f>
        <v/>
      </c>
      <c r="T70" s="60" t="str">
        <f aca="false">IFERROR(INDEX(R$2:R$81,MATCH(ROW()-1,S$2:S$81,0)),"")</f>
        <v/>
      </c>
      <c r="AM70" s="60" t="str">
        <f aca="false">IF(Templates!$E$73="","",IF(OR(Templates!$F$73="x",IFERROR(INDEX(Templates!$G$73:$L$73,MATCH(TripType,Templates!$G$4:$L$4,0))="x",FALSE())),Templates!$E$73,""))</f>
        <v/>
      </c>
      <c r="AN70" s="60" t="str">
        <f aca="false">IF(LEN(AM70)=0,"",SUMPRODUCT(--(LEN(AM$2:AM70)&gt;0)))</f>
        <v/>
      </c>
      <c r="AO70" s="60" t="str">
        <f aca="false">IFERROR(INDEX(AM$2:AM$81,MATCH(ROW()-1,AN$2:AN$81,0)),"")</f>
        <v/>
      </c>
      <c r="BH70" s="60" t="n">
        <f aca="false">ROUND(MAX(0,MIN(BE8,BF10)-MAX(BE8-BC8,BF10-BD10)),0)</f>
        <v>0</v>
      </c>
      <c r="BI70" s="60" t="str">
        <f aca="false">IF(BH70&gt;=1,BA8&amp;" pays "&amp;BA10,"")</f>
        <v/>
      </c>
      <c r="BJ70" s="60" t="str">
        <f aca="false">IF(BI70="","",COUNTIF($BH$2:BH70,"&gt;=1"))</f>
        <v/>
      </c>
      <c r="BK70" s="60" t="str">
        <f aca="false">IFERROR(INDEX($BI$2:$BI$101,MATCH(69,$BJ$2:$BJ$101,0)),"")</f>
        <v/>
      </c>
      <c r="BL70" s="60" t="str">
        <f aca="false">IFERROR(INDEX($BH$2:$BH$101,MATCH(69,$BJ$2:$BJ$101,0)),"")</f>
        <v/>
      </c>
    </row>
    <row r="71" customFormat="false" ht="15" hidden="false" customHeight="false" outlineLevel="0" collapsed="false">
      <c r="R71" s="60" t="str">
        <f aca="false">IF('Country Data'!$A$74="","",'Country Data'!$A$74)</f>
        <v/>
      </c>
      <c r="S71" s="60" t="str">
        <f aca="false">IF(LEN(R71)=0,"",SUMPRODUCT(--(LEN(R$2:R71)&gt;0)))</f>
        <v/>
      </c>
      <c r="T71" s="60" t="str">
        <f aca="false">IFERROR(INDEX(R$2:R$81,MATCH(ROW()-1,S$2:S$81,0)),"")</f>
        <v/>
      </c>
      <c r="AM71" s="60" t="str">
        <f aca="false">IF(Templates!$E$74="","",IF(OR(Templates!$F$74="x",IFERROR(INDEX(Templates!$G$74:$L$74,MATCH(TripType,Templates!$G$4:$L$4,0))="x",FALSE())),Templates!$E$74,""))</f>
        <v/>
      </c>
      <c r="AN71" s="60" t="str">
        <f aca="false">IF(LEN(AM71)=0,"",SUMPRODUCT(--(LEN(AM$2:AM71)&gt;0)))</f>
        <v/>
      </c>
      <c r="AO71" s="60" t="str">
        <f aca="false">IFERROR(INDEX(AM$2:AM$81,MATCH(ROW()-1,AN$2:AN$81,0)),"")</f>
        <v/>
      </c>
      <c r="BH71" s="60" t="n">
        <f aca="false">ROUND(MAX(0,MIN(BE8,BF11)-MAX(BE8-BC8,BF11-BD11)),0)</f>
        <v>0</v>
      </c>
      <c r="BI71" s="60" t="str">
        <f aca="false">IF(BH71&gt;=1,BA8&amp;" pays "&amp;BA11,"")</f>
        <v/>
      </c>
      <c r="BJ71" s="60" t="str">
        <f aca="false">IF(BI71="","",COUNTIF($BH$2:BH71,"&gt;=1"))</f>
        <v/>
      </c>
      <c r="BK71" s="60" t="str">
        <f aca="false">IFERROR(INDEX($BI$2:$BI$101,MATCH(70,$BJ$2:$BJ$101,0)),"")</f>
        <v/>
      </c>
      <c r="BL71" s="60" t="str">
        <f aca="false">IFERROR(INDEX($BH$2:$BH$101,MATCH(70,$BJ$2:$BJ$101,0)),"")</f>
        <v/>
      </c>
    </row>
    <row r="72" customFormat="false" ht="15" hidden="false" customHeight="false" outlineLevel="0" collapsed="false">
      <c r="R72" s="60" t="str">
        <f aca="false">IF('Country Data'!$A$75="","",'Country Data'!$A$75)</f>
        <v/>
      </c>
      <c r="S72" s="60" t="str">
        <f aca="false">IF(LEN(R72)=0,"",SUMPRODUCT(--(LEN(R$2:R72)&gt;0)))</f>
        <v/>
      </c>
      <c r="T72" s="60" t="str">
        <f aca="false">IFERROR(INDEX(R$2:R$81,MATCH(ROW()-1,S$2:S$81,0)),"")</f>
        <v/>
      </c>
      <c r="AM72" s="60" t="str">
        <f aca="false">IF(Templates!$E$75="","",IF(OR(Templates!$F$75="x",IFERROR(INDEX(Templates!$G$75:$L$75,MATCH(TripType,Templates!$G$4:$L$4,0))="x",FALSE())),Templates!$E$75,""))</f>
        <v/>
      </c>
      <c r="AN72" s="60" t="str">
        <f aca="false">IF(LEN(AM72)=0,"",SUMPRODUCT(--(LEN(AM$2:AM72)&gt;0)))</f>
        <v/>
      </c>
      <c r="AO72" s="60" t="str">
        <f aca="false">IFERROR(INDEX(AM$2:AM$81,MATCH(ROW()-1,AN$2:AN$81,0)),"")</f>
        <v/>
      </c>
      <c r="BH72" s="60" t="n">
        <f aca="false">ROUND(MAX(0,MIN(BE9,BF2)-MAX(BE9-BC9,BF2-BD2)),0)</f>
        <v>0</v>
      </c>
      <c r="BI72" s="60" t="str">
        <f aca="false">IF(BH72&gt;=1,BA9&amp;" pays "&amp;BA2,"")</f>
        <v/>
      </c>
      <c r="BJ72" s="60" t="str">
        <f aca="false">IF(BI72="","",COUNTIF($BH$2:BH72,"&gt;=1"))</f>
        <v/>
      </c>
      <c r="BK72" s="60" t="str">
        <f aca="false">IFERROR(INDEX($BI$2:$BI$101,MATCH(71,$BJ$2:$BJ$101,0)),"")</f>
        <v/>
      </c>
      <c r="BL72" s="60" t="str">
        <f aca="false">IFERROR(INDEX($BH$2:$BH$101,MATCH(71,$BJ$2:$BJ$101,0)),"")</f>
        <v/>
      </c>
    </row>
    <row r="73" customFormat="false" ht="15" hidden="false" customHeight="false" outlineLevel="0" collapsed="false">
      <c r="R73" s="60" t="str">
        <f aca="false">IF('Country Data'!$A$76="","",'Country Data'!$A$76)</f>
        <v/>
      </c>
      <c r="S73" s="60" t="str">
        <f aca="false">IF(LEN(R73)=0,"",SUMPRODUCT(--(LEN(R$2:R73)&gt;0)))</f>
        <v/>
      </c>
      <c r="T73" s="60" t="str">
        <f aca="false">IFERROR(INDEX(R$2:R$81,MATCH(ROW()-1,S$2:S$81,0)),"")</f>
        <v/>
      </c>
      <c r="AM73" s="60" t="str">
        <f aca="false">IF(Templates!$E$76="","",IF(OR(Templates!$F$76="x",IFERROR(INDEX(Templates!$G$76:$L$76,MATCH(TripType,Templates!$G$4:$L$4,0))="x",FALSE())),Templates!$E$76,""))</f>
        <v/>
      </c>
      <c r="AN73" s="60" t="str">
        <f aca="false">IF(LEN(AM73)=0,"",SUMPRODUCT(--(LEN(AM$2:AM73)&gt;0)))</f>
        <v/>
      </c>
      <c r="AO73" s="60" t="str">
        <f aca="false">IFERROR(INDEX(AM$2:AM$81,MATCH(ROW()-1,AN$2:AN$81,0)),"")</f>
        <v/>
      </c>
      <c r="BH73" s="60" t="n">
        <f aca="false">ROUND(MAX(0,MIN(BE9,BF3)-MAX(BE9-BC9,BF3-BD3)),0)</f>
        <v>0</v>
      </c>
      <c r="BI73" s="60" t="str">
        <f aca="false">IF(BH73&gt;=1,BA9&amp;" pays "&amp;BA3,"")</f>
        <v/>
      </c>
      <c r="BJ73" s="60" t="str">
        <f aca="false">IF(BI73="","",COUNTIF($BH$2:BH73,"&gt;=1"))</f>
        <v/>
      </c>
      <c r="BK73" s="60" t="str">
        <f aca="false">IFERROR(INDEX($BI$2:$BI$101,MATCH(72,$BJ$2:$BJ$101,0)),"")</f>
        <v/>
      </c>
      <c r="BL73" s="60" t="str">
        <f aca="false">IFERROR(INDEX($BH$2:$BH$101,MATCH(72,$BJ$2:$BJ$101,0)),"")</f>
        <v/>
      </c>
    </row>
    <row r="74" customFormat="false" ht="15" hidden="false" customHeight="false" outlineLevel="0" collapsed="false">
      <c r="R74" s="60" t="str">
        <f aca="false">IF('Country Data'!$A$77="","",'Country Data'!$A$77)</f>
        <v/>
      </c>
      <c r="S74" s="60" t="str">
        <f aca="false">IF(LEN(R74)=0,"",SUMPRODUCT(--(LEN(R$2:R74)&gt;0)))</f>
        <v/>
      </c>
      <c r="T74" s="60" t="str">
        <f aca="false">IFERROR(INDEX(R$2:R$81,MATCH(ROW()-1,S$2:S$81,0)),"")</f>
        <v/>
      </c>
      <c r="AM74" s="60" t="str">
        <f aca="false">IF(Templates!$E$77="","",IF(OR(Templates!$F$77="x",IFERROR(INDEX(Templates!$G$77:$L$77,MATCH(TripType,Templates!$G$4:$L$4,0))="x",FALSE())),Templates!$E$77,""))</f>
        <v/>
      </c>
      <c r="AN74" s="60" t="str">
        <f aca="false">IF(LEN(AM74)=0,"",SUMPRODUCT(--(LEN(AM$2:AM74)&gt;0)))</f>
        <v/>
      </c>
      <c r="AO74" s="60" t="str">
        <f aca="false">IFERROR(INDEX(AM$2:AM$81,MATCH(ROW()-1,AN$2:AN$81,0)),"")</f>
        <v/>
      </c>
      <c r="BH74" s="60" t="n">
        <f aca="false">ROUND(MAX(0,MIN(BE9,BF4)-MAX(BE9-BC9,BF4-BD4)),0)</f>
        <v>0</v>
      </c>
      <c r="BI74" s="60" t="str">
        <f aca="false">IF(BH74&gt;=1,BA9&amp;" pays "&amp;BA4,"")</f>
        <v/>
      </c>
      <c r="BJ74" s="60" t="str">
        <f aca="false">IF(BI74="","",COUNTIF($BH$2:BH74,"&gt;=1"))</f>
        <v/>
      </c>
      <c r="BK74" s="60" t="str">
        <f aca="false">IFERROR(INDEX($BI$2:$BI$101,MATCH(73,$BJ$2:$BJ$101,0)),"")</f>
        <v/>
      </c>
      <c r="BL74" s="60" t="str">
        <f aca="false">IFERROR(INDEX($BH$2:$BH$101,MATCH(73,$BJ$2:$BJ$101,0)),"")</f>
        <v/>
      </c>
    </row>
    <row r="75" customFormat="false" ht="15" hidden="false" customHeight="false" outlineLevel="0" collapsed="false">
      <c r="R75" s="60" t="str">
        <f aca="false">IF('Country Data'!$A$78="","",'Country Data'!$A$78)</f>
        <v/>
      </c>
      <c r="S75" s="60" t="str">
        <f aca="false">IF(LEN(R75)=0,"",SUMPRODUCT(--(LEN(R$2:R75)&gt;0)))</f>
        <v/>
      </c>
      <c r="T75" s="60" t="str">
        <f aca="false">IFERROR(INDEX(R$2:R$81,MATCH(ROW()-1,S$2:S$81,0)),"")</f>
        <v/>
      </c>
      <c r="AM75" s="60" t="str">
        <f aca="false">IF(Templates!$E$78="","",IF(OR(Templates!$F$78="x",IFERROR(INDEX(Templates!$G$78:$L$78,MATCH(TripType,Templates!$G$4:$L$4,0))="x",FALSE())),Templates!$E$78,""))</f>
        <v/>
      </c>
      <c r="AN75" s="60" t="str">
        <f aca="false">IF(LEN(AM75)=0,"",SUMPRODUCT(--(LEN(AM$2:AM75)&gt;0)))</f>
        <v/>
      </c>
      <c r="AO75" s="60" t="str">
        <f aca="false">IFERROR(INDEX(AM$2:AM$81,MATCH(ROW()-1,AN$2:AN$81,0)),"")</f>
        <v/>
      </c>
      <c r="BH75" s="60" t="n">
        <f aca="false">ROUND(MAX(0,MIN(BE9,BF5)-MAX(BE9-BC9,BF5-BD5)),0)</f>
        <v>0</v>
      </c>
      <c r="BI75" s="60" t="str">
        <f aca="false">IF(BH75&gt;=1,BA9&amp;" pays "&amp;BA5,"")</f>
        <v/>
      </c>
      <c r="BJ75" s="60" t="str">
        <f aca="false">IF(BI75="","",COUNTIF($BH$2:BH75,"&gt;=1"))</f>
        <v/>
      </c>
      <c r="BK75" s="60" t="str">
        <f aca="false">IFERROR(INDEX($BI$2:$BI$101,MATCH(74,$BJ$2:$BJ$101,0)),"")</f>
        <v/>
      </c>
      <c r="BL75" s="60" t="str">
        <f aca="false">IFERROR(INDEX($BH$2:$BH$101,MATCH(74,$BJ$2:$BJ$101,0)),"")</f>
        <v/>
      </c>
    </row>
    <row r="76" customFormat="false" ht="15" hidden="false" customHeight="false" outlineLevel="0" collapsed="false">
      <c r="R76" s="60" t="str">
        <f aca="false">IF('Country Data'!$A$79="","",'Country Data'!$A$79)</f>
        <v/>
      </c>
      <c r="S76" s="60" t="str">
        <f aca="false">IF(LEN(R76)=0,"",SUMPRODUCT(--(LEN(R$2:R76)&gt;0)))</f>
        <v/>
      </c>
      <c r="T76" s="60" t="str">
        <f aca="false">IFERROR(INDEX(R$2:R$81,MATCH(ROW()-1,S$2:S$81,0)),"")</f>
        <v/>
      </c>
      <c r="AM76" s="60" t="str">
        <f aca="false">IF(Templates!$E$79="","",IF(OR(Templates!$F$79="x",IFERROR(INDEX(Templates!$G$79:$L$79,MATCH(TripType,Templates!$G$4:$L$4,0))="x",FALSE())),Templates!$E$79,""))</f>
        <v/>
      </c>
      <c r="AN76" s="60" t="str">
        <f aca="false">IF(LEN(AM76)=0,"",SUMPRODUCT(--(LEN(AM$2:AM76)&gt;0)))</f>
        <v/>
      </c>
      <c r="AO76" s="60" t="str">
        <f aca="false">IFERROR(INDEX(AM$2:AM$81,MATCH(ROW()-1,AN$2:AN$81,0)),"")</f>
        <v/>
      </c>
      <c r="BH76" s="60" t="n">
        <f aca="false">ROUND(MAX(0,MIN(BE9,BF6)-MAX(BE9-BC9,BF6-BD6)),0)</f>
        <v>0</v>
      </c>
      <c r="BI76" s="60" t="str">
        <f aca="false">IF(BH76&gt;=1,BA9&amp;" pays "&amp;BA6,"")</f>
        <v/>
      </c>
      <c r="BJ76" s="60" t="str">
        <f aca="false">IF(BI76="","",COUNTIF($BH$2:BH76,"&gt;=1"))</f>
        <v/>
      </c>
      <c r="BK76" s="60" t="str">
        <f aca="false">IFERROR(INDEX($BI$2:$BI$101,MATCH(75,$BJ$2:$BJ$101,0)),"")</f>
        <v/>
      </c>
      <c r="BL76" s="60" t="str">
        <f aca="false">IFERROR(INDEX($BH$2:$BH$101,MATCH(75,$BJ$2:$BJ$101,0)),"")</f>
        <v/>
      </c>
    </row>
    <row r="77" customFormat="false" ht="15" hidden="false" customHeight="false" outlineLevel="0" collapsed="false">
      <c r="R77" s="60" t="str">
        <f aca="false">IF('Country Data'!$A$80="","",'Country Data'!$A$80)</f>
        <v/>
      </c>
      <c r="S77" s="60" t="str">
        <f aca="false">IF(LEN(R77)=0,"",SUMPRODUCT(--(LEN(R$2:R77)&gt;0)))</f>
        <v/>
      </c>
      <c r="T77" s="60" t="str">
        <f aca="false">IFERROR(INDEX(R$2:R$81,MATCH(ROW()-1,S$2:S$81,0)),"")</f>
        <v/>
      </c>
      <c r="AM77" s="60" t="str">
        <f aca="false">IF(Templates!$E$80="","",IF(OR(Templates!$F$80="x",IFERROR(INDEX(Templates!$G$80:$L$80,MATCH(TripType,Templates!$G$4:$L$4,0))="x",FALSE())),Templates!$E$80,""))</f>
        <v/>
      </c>
      <c r="AN77" s="60" t="str">
        <f aca="false">IF(LEN(AM77)=0,"",SUMPRODUCT(--(LEN(AM$2:AM77)&gt;0)))</f>
        <v/>
      </c>
      <c r="AO77" s="60" t="str">
        <f aca="false">IFERROR(INDEX(AM$2:AM$81,MATCH(ROW()-1,AN$2:AN$81,0)),"")</f>
        <v/>
      </c>
      <c r="BH77" s="60" t="n">
        <f aca="false">ROUND(MAX(0,MIN(BE9,BF7)-MAX(BE9-BC9,BF7-BD7)),0)</f>
        <v>0</v>
      </c>
      <c r="BI77" s="60" t="str">
        <f aca="false">IF(BH77&gt;=1,BA9&amp;" pays "&amp;BA7,"")</f>
        <v/>
      </c>
      <c r="BJ77" s="60" t="str">
        <f aca="false">IF(BI77="","",COUNTIF($BH$2:BH77,"&gt;=1"))</f>
        <v/>
      </c>
      <c r="BK77" s="60" t="str">
        <f aca="false">IFERROR(INDEX($BI$2:$BI$101,MATCH(76,$BJ$2:$BJ$101,0)),"")</f>
        <v/>
      </c>
      <c r="BL77" s="60" t="str">
        <f aca="false">IFERROR(INDEX($BH$2:$BH$101,MATCH(76,$BJ$2:$BJ$101,0)),"")</f>
        <v/>
      </c>
    </row>
    <row r="78" customFormat="false" ht="15" hidden="false" customHeight="false" outlineLevel="0" collapsed="false">
      <c r="R78" s="60" t="str">
        <f aca="false">IF('Country Data'!$A$81="","",'Country Data'!$A$81)</f>
        <v/>
      </c>
      <c r="S78" s="60" t="str">
        <f aca="false">IF(LEN(R78)=0,"",SUMPRODUCT(--(LEN(R$2:R78)&gt;0)))</f>
        <v/>
      </c>
      <c r="T78" s="60" t="str">
        <f aca="false">IFERROR(INDEX(R$2:R$81,MATCH(ROW()-1,S$2:S$81,0)),"")</f>
        <v/>
      </c>
      <c r="AM78" s="60" t="str">
        <f aca="false">IF(Templates!$E$81="","",IF(OR(Templates!$F$81="x",IFERROR(INDEX(Templates!$G$81:$L$81,MATCH(TripType,Templates!$G$4:$L$4,0))="x",FALSE())),Templates!$E$81,""))</f>
        <v/>
      </c>
      <c r="AN78" s="60" t="str">
        <f aca="false">IF(LEN(AM78)=0,"",SUMPRODUCT(--(LEN(AM$2:AM78)&gt;0)))</f>
        <v/>
      </c>
      <c r="AO78" s="60" t="str">
        <f aca="false">IFERROR(INDEX(AM$2:AM$81,MATCH(ROW()-1,AN$2:AN$81,0)),"")</f>
        <v/>
      </c>
      <c r="BH78" s="60" t="n">
        <f aca="false">ROUND(MAX(0,MIN(BE9,BF8)-MAX(BE9-BC9,BF8-BD8)),0)</f>
        <v>0</v>
      </c>
      <c r="BI78" s="60" t="str">
        <f aca="false">IF(BH78&gt;=1,BA9&amp;" pays "&amp;BA8,"")</f>
        <v/>
      </c>
      <c r="BJ78" s="60" t="str">
        <f aca="false">IF(BI78="","",COUNTIF($BH$2:BH78,"&gt;=1"))</f>
        <v/>
      </c>
      <c r="BK78" s="60" t="str">
        <f aca="false">IFERROR(INDEX($BI$2:$BI$101,MATCH(77,$BJ$2:$BJ$101,0)),"")</f>
        <v/>
      </c>
      <c r="BL78" s="60" t="str">
        <f aca="false">IFERROR(INDEX($BH$2:$BH$101,MATCH(77,$BJ$2:$BJ$101,0)),"")</f>
        <v/>
      </c>
    </row>
    <row r="79" customFormat="false" ht="15" hidden="false" customHeight="false" outlineLevel="0" collapsed="false">
      <c r="R79" s="60" t="str">
        <f aca="false">IF('Country Data'!$A$82="","",'Country Data'!$A$82)</f>
        <v/>
      </c>
      <c r="S79" s="60" t="str">
        <f aca="false">IF(LEN(R79)=0,"",SUMPRODUCT(--(LEN(R$2:R79)&gt;0)))</f>
        <v/>
      </c>
      <c r="T79" s="60" t="str">
        <f aca="false">IFERROR(INDEX(R$2:R$81,MATCH(ROW()-1,S$2:S$81,0)),"")</f>
        <v/>
      </c>
      <c r="AM79" s="60" t="str">
        <f aca="false">IF(Templates!$E$82="","",IF(OR(Templates!$F$82="x",IFERROR(INDEX(Templates!$G$82:$L$82,MATCH(TripType,Templates!$G$4:$L$4,0))="x",FALSE())),Templates!$E$82,""))</f>
        <v/>
      </c>
      <c r="AN79" s="60" t="str">
        <f aca="false">IF(LEN(AM79)=0,"",SUMPRODUCT(--(LEN(AM$2:AM79)&gt;0)))</f>
        <v/>
      </c>
      <c r="AO79" s="60" t="str">
        <f aca="false">IFERROR(INDEX(AM$2:AM$81,MATCH(ROW()-1,AN$2:AN$81,0)),"")</f>
        <v/>
      </c>
      <c r="BH79" s="60" t="n">
        <f aca="false">ROUND(MAX(0,MIN(BE9,BF9)-MAX(BE9-BC9,BF9-BD9)),0)</f>
        <v>0</v>
      </c>
      <c r="BI79" s="60" t="str">
        <f aca="false">IF(BH79&gt;=1,BA9&amp;" pays "&amp;BA9,"")</f>
        <v/>
      </c>
      <c r="BJ79" s="60" t="str">
        <f aca="false">IF(BI79="","",COUNTIF($BH$2:BH79,"&gt;=1"))</f>
        <v/>
      </c>
      <c r="BK79" s="60" t="str">
        <f aca="false">IFERROR(INDEX($BI$2:$BI$101,MATCH(78,$BJ$2:$BJ$101,0)),"")</f>
        <v/>
      </c>
      <c r="BL79" s="60" t="str">
        <f aca="false">IFERROR(INDEX($BH$2:$BH$101,MATCH(78,$BJ$2:$BJ$101,0)),"")</f>
        <v/>
      </c>
    </row>
    <row r="80" customFormat="false" ht="15" hidden="false" customHeight="false" outlineLevel="0" collapsed="false">
      <c r="R80" s="60" t="str">
        <f aca="false">IF('Country Data'!$A$83="","",'Country Data'!$A$83)</f>
        <v/>
      </c>
      <c r="S80" s="60" t="str">
        <f aca="false">IF(LEN(R80)=0,"",SUMPRODUCT(--(LEN(R$2:R80)&gt;0)))</f>
        <v/>
      </c>
      <c r="T80" s="60" t="str">
        <f aca="false">IFERROR(INDEX(R$2:R$81,MATCH(ROW()-1,S$2:S$81,0)),"")</f>
        <v/>
      </c>
      <c r="AM80" s="60" t="str">
        <f aca="false">IF(Templates!$E$83="","",IF(OR(Templates!$F$83="x",IFERROR(INDEX(Templates!$G$83:$L$83,MATCH(TripType,Templates!$G$4:$L$4,0))="x",FALSE())),Templates!$E$83,""))</f>
        <v/>
      </c>
      <c r="AN80" s="60" t="str">
        <f aca="false">IF(LEN(AM80)=0,"",SUMPRODUCT(--(LEN(AM$2:AM80)&gt;0)))</f>
        <v/>
      </c>
      <c r="AO80" s="60" t="str">
        <f aca="false">IFERROR(INDEX(AM$2:AM$81,MATCH(ROW()-1,AN$2:AN$81,0)),"")</f>
        <v/>
      </c>
      <c r="BH80" s="60" t="n">
        <f aca="false">ROUND(MAX(0,MIN(BE9,BF10)-MAX(BE9-BC9,BF10-BD10)),0)</f>
        <v>0</v>
      </c>
      <c r="BI80" s="60" t="str">
        <f aca="false">IF(BH80&gt;=1,BA9&amp;" pays "&amp;BA10,"")</f>
        <v/>
      </c>
      <c r="BJ80" s="60" t="str">
        <f aca="false">IF(BI80="","",COUNTIF($BH$2:BH80,"&gt;=1"))</f>
        <v/>
      </c>
      <c r="BK80" s="60" t="str">
        <f aca="false">IFERROR(INDEX($BI$2:$BI$101,MATCH(79,$BJ$2:$BJ$101,0)),"")</f>
        <v/>
      </c>
      <c r="BL80" s="60" t="str">
        <f aca="false">IFERROR(INDEX($BH$2:$BH$101,MATCH(79,$BJ$2:$BJ$101,0)),"")</f>
        <v/>
      </c>
    </row>
    <row r="81" customFormat="false" ht="15" hidden="false" customHeight="false" outlineLevel="0" collapsed="false">
      <c r="R81" s="60" t="str">
        <f aca="false">IF('Country Data'!$A$84="","",'Country Data'!$A$84)</f>
        <v/>
      </c>
      <c r="S81" s="60" t="str">
        <f aca="false">IF(LEN(R81)=0,"",SUMPRODUCT(--(LEN(R$2:R81)&gt;0)))</f>
        <v/>
      </c>
      <c r="T81" s="60" t="str">
        <f aca="false">IFERROR(INDEX(R$2:R$81,MATCH(ROW()-1,S$2:S$81,0)),"")</f>
        <v/>
      </c>
      <c r="AM81" s="60" t="str">
        <f aca="false">IF(Templates!$E$84="","",IF(OR(Templates!$F$84="x",IFERROR(INDEX(Templates!$G$84:$L$84,MATCH(TripType,Templates!$G$4:$L$4,0))="x",FALSE())),Templates!$E$84,""))</f>
        <v/>
      </c>
      <c r="AN81" s="60" t="str">
        <f aca="false">IF(LEN(AM81)=0,"",SUMPRODUCT(--(LEN(AM$2:AM81)&gt;0)))</f>
        <v/>
      </c>
      <c r="AO81" s="60" t="str">
        <f aca="false">IFERROR(INDEX(AM$2:AM$81,MATCH(ROW()-1,AN$2:AN$81,0)),"")</f>
        <v/>
      </c>
      <c r="BH81" s="60" t="n">
        <f aca="false">ROUND(MAX(0,MIN(BE9,BF11)-MAX(BE9-BC9,BF11-BD11)),0)</f>
        <v>0</v>
      </c>
      <c r="BI81" s="60" t="str">
        <f aca="false">IF(BH81&gt;=1,BA9&amp;" pays "&amp;BA11,"")</f>
        <v/>
      </c>
      <c r="BJ81" s="60" t="str">
        <f aca="false">IF(BI81="","",COUNTIF($BH$2:BH81,"&gt;=1"))</f>
        <v/>
      </c>
      <c r="BK81" s="60" t="str">
        <f aca="false">IFERROR(INDEX($BI$2:$BI$101,MATCH(80,$BJ$2:$BJ$101,0)),"")</f>
        <v/>
      </c>
      <c r="BL81" s="60" t="str">
        <f aca="false">IFERROR(INDEX($BH$2:$BH$101,MATCH(80,$BJ$2:$BJ$101,0)),"")</f>
        <v/>
      </c>
    </row>
    <row r="82" customFormat="false" ht="15" hidden="false" customHeight="false" outlineLevel="0" collapsed="false">
      <c r="BH82" s="60" t="n">
        <f aca="false">ROUND(MAX(0,MIN(BE10,BF2)-MAX(BE10-BC10,BF2-BD2)),0)</f>
        <v>0</v>
      </c>
      <c r="BI82" s="60" t="str">
        <f aca="false">IF(BH82&gt;=1,BA10&amp;" pays "&amp;BA2,"")</f>
        <v/>
      </c>
      <c r="BJ82" s="60" t="str">
        <f aca="false">IF(BI82="","",COUNTIF($BH$2:BH82,"&gt;=1"))</f>
        <v/>
      </c>
      <c r="BK82" s="60" t="str">
        <f aca="false">IFERROR(INDEX($BI$2:$BI$101,MATCH(81,$BJ$2:$BJ$101,0)),"")</f>
        <v/>
      </c>
      <c r="BL82" s="60" t="str">
        <f aca="false">IFERROR(INDEX($BH$2:$BH$101,MATCH(81,$BJ$2:$BJ$101,0)),"")</f>
        <v/>
      </c>
    </row>
    <row r="83" customFormat="false" ht="15" hidden="false" customHeight="false" outlineLevel="0" collapsed="false">
      <c r="BH83" s="60" t="n">
        <f aca="false">ROUND(MAX(0,MIN(BE10,BF3)-MAX(BE10-BC10,BF3-BD3)),0)</f>
        <v>0</v>
      </c>
      <c r="BI83" s="60" t="str">
        <f aca="false">IF(BH83&gt;=1,BA10&amp;" pays "&amp;BA3,"")</f>
        <v/>
      </c>
      <c r="BJ83" s="60" t="str">
        <f aca="false">IF(BI83="","",COUNTIF($BH$2:BH83,"&gt;=1"))</f>
        <v/>
      </c>
      <c r="BK83" s="60" t="str">
        <f aca="false">IFERROR(INDEX($BI$2:$BI$101,MATCH(82,$BJ$2:$BJ$101,0)),"")</f>
        <v/>
      </c>
      <c r="BL83" s="60" t="str">
        <f aca="false">IFERROR(INDEX($BH$2:$BH$101,MATCH(82,$BJ$2:$BJ$101,0)),"")</f>
        <v/>
      </c>
    </row>
    <row r="84" customFormat="false" ht="15" hidden="false" customHeight="false" outlineLevel="0" collapsed="false">
      <c r="BH84" s="60" t="n">
        <f aca="false">ROUND(MAX(0,MIN(BE10,BF4)-MAX(BE10-BC10,BF4-BD4)),0)</f>
        <v>0</v>
      </c>
      <c r="BI84" s="60" t="str">
        <f aca="false">IF(BH84&gt;=1,BA10&amp;" pays "&amp;BA4,"")</f>
        <v/>
      </c>
      <c r="BJ84" s="60" t="str">
        <f aca="false">IF(BI84="","",COUNTIF($BH$2:BH84,"&gt;=1"))</f>
        <v/>
      </c>
      <c r="BK84" s="60" t="str">
        <f aca="false">IFERROR(INDEX($BI$2:$BI$101,MATCH(83,$BJ$2:$BJ$101,0)),"")</f>
        <v/>
      </c>
      <c r="BL84" s="60" t="str">
        <f aca="false">IFERROR(INDEX($BH$2:$BH$101,MATCH(83,$BJ$2:$BJ$101,0)),"")</f>
        <v/>
      </c>
    </row>
    <row r="85" customFormat="false" ht="15" hidden="false" customHeight="false" outlineLevel="0" collapsed="false">
      <c r="BH85" s="60" t="n">
        <f aca="false">ROUND(MAX(0,MIN(BE10,BF5)-MAX(BE10-BC10,BF5-BD5)),0)</f>
        <v>0</v>
      </c>
      <c r="BI85" s="60" t="str">
        <f aca="false">IF(BH85&gt;=1,BA10&amp;" pays "&amp;BA5,"")</f>
        <v/>
      </c>
      <c r="BJ85" s="60" t="str">
        <f aca="false">IF(BI85="","",COUNTIF($BH$2:BH85,"&gt;=1"))</f>
        <v/>
      </c>
      <c r="BK85" s="60" t="str">
        <f aca="false">IFERROR(INDEX($BI$2:$BI$101,MATCH(84,$BJ$2:$BJ$101,0)),"")</f>
        <v/>
      </c>
      <c r="BL85" s="60" t="str">
        <f aca="false">IFERROR(INDEX($BH$2:$BH$101,MATCH(84,$BJ$2:$BJ$101,0)),"")</f>
        <v/>
      </c>
    </row>
    <row r="86" customFormat="false" ht="15" hidden="false" customHeight="false" outlineLevel="0" collapsed="false">
      <c r="BH86" s="60" t="n">
        <f aca="false">ROUND(MAX(0,MIN(BE10,BF6)-MAX(BE10-BC10,BF6-BD6)),0)</f>
        <v>0</v>
      </c>
      <c r="BI86" s="60" t="str">
        <f aca="false">IF(BH86&gt;=1,BA10&amp;" pays "&amp;BA6,"")</f>
        <v/>
      </c>
      <c r="BJ86" s="60" t="str">
        <f aca="false">IF(BI86="","",COUNTIF($BH$2:BH86,"&gt;=1"))</f>
        <v/>
      </c>
      <c r="BK86" s="60" t="str">
        <f aca="false">IFERROR(INDEX($BI$2:$BI$101,MATCH(85,$BJ$2:$BJ$101,0)),"")</f>
        <v/>
      </c>
      <c r="BL86" s="60" t="str">
        <f aca="false">IFERROR(INDEX($BH$2:$BH$101,MATCH(85,$BJ$2:$BJ$101,0)),"")</f>
        <v/>
      </c>
    </row>
    <row r="87" customFormat="false" ht="15" hidden="false" customHeight="false" outlineLevel="0" collapsed="false">
      <c r="BH87" s="60" t="n">
        <f aca="false">ROUND(MAX(0,MIN(BE10,BF7)-MAX(BE10-BC10,BF7-BD7)),0)</f>
        <v>0</v>
      </c>
      <c r="BI87" s="60" t="str">
        <f aca="false">IF(BH87&gt;=1,BA10&amp;" pays "&amp;BA7,"")</f>
        <v/>
      </c>
      <c r="BJ87" s="60" t="str">
        <f aca="false">IF(BI87="","",COUNTIF($BH$2:BH87,"&gt;=1"))</f>
        <v/>
      </c>
      <c r="BK87" s="60" t="str">
        <f aca="false">IFERROR(INDEX($BI$2:$BI$101,MATCH(86,$BJ$2:$BJ$101,0)),"")</f>
        <v/>
      </c>
      <c r="BL87" s="60" t="str">
        <f aca="false">IFERROR(INDEX($BH$2:$BH$101,MATCH(86,$BJ$2:$BJ$101,0)),"")</f>
        <v/>
      </c>
    </row>
    <row r="88" customFormat="false" ht="15" hidden="false" customHeight="false" outlineLevel="0" collapsed="false">
      <c r="BH88" s="60" t="n">
        <f aca="false">ROUND(MAX(0,MIN(BE10,BF8)-MAX(BE10-BC10,BF8-BD8)),0)</f>
        <v>0</v>
      </c>
      <c r="BI88" s="60" t="str">
        <f aca="false">IF(BH88&gt;=1,BA10&amp;" pays "&amp;BA8,"")</f>
        <v/>
      </c>
      <c r="BJ88" s="60" t="str">
        <f aca="false">IF(BI88="","",COUNTIF($BH$2:BH88,"&gt;=1"))</f>
        <v/>
      </c>
      <c r="BK88" s="60" t="str">
        <f aca="false">IFERROR(INDEX($BI$2:$BI$101,MATCH(87,$BJ$2:$BJ$101,0)),"")</f>
        <v/>
      </c>
      <c r="BL88" s="60" t="str">
        <f aca="false">IFERROR(INDEX($BH$2:$BH$101,MATCH(87,$BJ$2:$BJ$101,0)),"")</f>
        <v/>
      </c>
    </row>
    <row r="89" customFormat="false" ht="15" hidden="false" customHeight="false" outlineLevel="0" collapsed="false">
      <c r="BH89" s="60" t="n">
        <f aca="false">ROUND(MAX(0,MIN(BE10,BF9)-MAX(BE10-BC10,BF9-BD9)),0)</f>
        <v>0</v>
      </c>
      <c r="BI89" s="60" t="str">
        <f aca="false">IF(BH89&gt;=1,BA10&amp;" pays "&amp;BA9,"")</f>
        <v/>
      </c>
      <c r="BJ89" s="60" t="str">
        <f aca="false">IF(BI89="","",COUNTIF($BH$2:BH89,"&gt;=1"))</f>
        <v/>
      </c>
      <c r="BK89" s="60" t="str">
        <f aca="false">IFERROR(INDEX($BI$2:$BI$101,MATCH(88,$BJ$2:$BJ$101,0)),"")</f>
        <v/>
      </c>
      <c r="BL89" s="60" t="str">
        <f aca="false">IFERROR(INDEX($BH$2:$BH$101,MATCH(88,$BJ$2:$BJ$101,0)),"")</f>
        <v/>
      </c>
    </row>
    <row r="90" customFormat="false" ht="15" hidden="false" customHeight="false" outlineLevel="0" collapsed="false">
      <c r="BH90" s="60" t="n">
        <f aca="false">ROUND(MAX(0,MIN(BE10,BF10)-MAX(BE10-BC10,BF10-BD10)),0)</f>
        <v>0</v>
      </c>
      <c r="BI90" s="60" t="str">
        <f aca="false">IF(BH90&gt;=1,BA10&amp;" pays "&amp;BA10,"")</f>
        <v/>
      </c>
      <c r="BJ90" s="60" t="str">
        <f aca="false">IF(BI90="","",COUNTIF($BH$2:BH90,"&gt;=1"))</f>
        <v/>
      </c>
      <c r="BK90" s="60" t="str">
        <f aca="false">IFERROR(INDEX($BI$2:$BI$101,MATCH(89,$BJ$2:$BJ$101,0)),"")</f>
        <v/>
      </c>
      <c r="BL90" s="60" t="str">
        <f aca="false">IFERROR(INDEX($BH$2:$BH$101,MATCH(89,$BJ$2:$BJ$101,0)),"")</f>
        <v/>
      </c>
    </row>
    <row r="91" customFormat="false" ht="15" hidden="false" customHeight="false" outlineLevel="0" collapsed="false">
      <c r="BH91" s="60" t="n">
        <f aca="false">ROUND(MAX(0,MIN(BE10,BF11)-MAX(BE10-BC10,BF11-BD11)),0)</f>
        <v>0</v>
      </c>
      <c r="BI91" s="60" t="str">
        <f aca="false">IF(BH91&gt;=1,BA10&amp;" pays "&amp;BA11,"")</f>
        <v/>
      </c>
      <c r="BJ91" s="60" t="str">
        <f aca="false">IF(BI91="","",COUNTIF($BH$2:BH91,"&gt;=1"))</f>
        <v/>
      </c>
      <c r="BK91" s="60" t="str">
        <f aca="false">IFERROR(INDEX($BI$2:$BI$101,MATCH(90,$BJ$2:$BJ$101,0)),"")</f>
        <v/>
      </c>
      <c r="BL91" s="60" t="str">
        <f aca="false">IFERROR(INDEX($BH$2:$BH$101,MATCH(90,$BJ$2:$BJ$101,0)),"")</f>
        <v/>
      </c>
    </row>
    <row r="92" customFormat="false" ht="15" hidden="false" customHeight="false" outlineLevel="0" collapsed="false">
      <c r="BH92" s="60" t="n">
        <f aca="false">ROUND(MAX(0,MIN(BE11,BF2)-MAX(BE11-BC11,BF2-BD2)),0)</f>
        <v>0</v>
      </c>
      <c r="BI92" s="60" t="str">
        <f aca="false">IF(BH92&gt;=1,BA11&amp;" pays "&amp;BA2,"")</f>
        <v/>
      </c>
      <c r="BJ92" s="60" t="str">
        <f aca="false">IF(BI92="","",COUNTIF($BH$2:BH92,"&gt;=1"))</f>
        <v/>
      </c>
      <c r="BK92" s="60" t="str">
        <f aca="false">IFERROR(INDEX($BI$2:$BI$101,MATCH(91,$BJ$2:$BJ$101,0)),"")</f>
        <v/>
      </c>
      <c r="BL92" s="60" t="str">
        <f aca="false">IFERROR(INDEX($BH$2:$BH$101,MATCH(91,$BJ$2:$BJ$101,0)),"")</f>
        <v/>
      </c>
    </row>
    <row r="93" customFormat="false" ht="15" hidden="false" customHeight="false" outlineLevel="0" collapsed="false">
      <c r="BH93" s="60" t="n">
        <f aca="false">ROUND(MAX(0,MIN(BE11,BF3)-MAX(BE11-BC11,BF3-BD3)),0)</f>
        <v>0</v>
      </c>
      <c r="BI93" s="60" t="str">
        <f aca="false">IF(BH93&gt;=1,BA11&amp;" pays "&amp;BA3,"")</f>
        <v/>
      </c>
      <c r="BJ93" s="60" t="str">
        <f aca="false">IF(BI93="","",COUNTIF($BH$2:BH93,"&gt;=1"))</f>
        <v/>
      </c>
      <c r="BK93" s="60" t="str">
        <f aca="false">IFERROR(INDEX($BI$2:$BI$101,MATCH(92,$BJ$2:$BJ$101,0)),"")</f>
        <v/>
      </c>
      <c r="BL93" s="60" t="str">
        <f aca="false">IFERROR(INDEX($BH$2:$BH$101,MATCH(92,$BJ$2:$BJ$101,0)),"")</f>
        <v/>
      </c>
    </row>
    <row r="94" customFormat="false" ht="15" hidden="false" customHeight="false" outlineLevel="0" collapsed="false">
      <c r="BH94" s="60" t="n">
        <f aca="false">ROUND(MAX(0,MIN(BE11,BF4)-MAX(BE11-BC11,BF4-BD4)),0)</f>
        <v>0</v>
      </c>
      <c r="BI94" s="60" t="str">
        <f aca="false">IF(BH94&gt;=1,BA11&amp;" pays "&amp;BA4,"")</f>
        <v/>
      </c>
      <c r="BJ94" s="60" t="str">
        <f aca="false">IF(BI94="","",COUNTIF($BH$2:BH94,"&gt;=1"))</f>
        <v/>
      </c>
      <c r="BK94" s="60" t="str">
        <f aca="false">IFERROR(INDEX($BI$2:$BI$101,MATCH(93,$BJ$2:$BJ$101,0)),"")</f>
        <v/>
      </c>
      <c r="BL94" s="60" t="str">
        <f aca="false">IFERROR(INDEX($BH$2:$BH$101,MATCH(93,$BJ$2:$BJ$101,0)),"")</f>
        <v/>
      </c>
    </row>
    <row r="95" customFormat="false" ht="15" hidden="false" customHeight="false" outlineLevel="0" collapsed="false">
      <c r="BH95" s="60" t="n">
        <f aca="false">ROUND(MAX(0,MIN(BE11,BF5)-MAX(BE11-BC11,BF5-BD5)),0)</f>
        <v>0</v>
      </c>
      <c r="BI95" s="60" t="str">
        <f aca="false">IF(BH95&gt;=1,BA11&amp;" pays "&amp;BA5,"")</f>
        <v/>
      </c>
      <c r="BJ95" s="60" t="str">
        <f aca="false">IF(BI95="","",COUNTIF($BH$2:BH95,"&gt;=1"))</f>
        <v/>
      </c>
      <c r="BK95" s="60" t="str">
        <f aca="false">IFERROR(INDEX($BI$2:$BI$101,MATCH(94,$BJ$2:$BJ$101,0)),"")</f>
        <v/>
      </c>
      <c r="BL95" s="60" t="str">
        <f aca="false">IFERROR(INDEX($BH$2:$BH$101,MATCH(94,$BJ$2:$BJ$101,0)),"")</f>
        <v/>
      </c>
    </row>
    <row r="96" customFormat="false" ht="15" hidden="false" customHeight="false" outlineLevel="0" collapsed="false">
      <c r="BH96" s="60" t="n">
        <f aca="false">ROUND(MAX(0,MIN(BE11,BF6)-MAX(BE11-BC11,BF6-BD6)),0)</f>
        <v>0</v>
      </c>
      <c r="BI96" s="60" t="str">
        <f aca="false">IF(BH96&gt;=1,BA11&amp;" pays "&amp;BA6,"")</f>
        <v/>
      </c>
      <c r="BJ96" s="60" t="str">
        <f aca="false">IF(BI96="","",COUNTIF($BH$2:BH96,"&gt;=1"))</f>
        <v/>
      </c>
      <c r="BK96" s="60" t="str">
        <f aca="false">IFERROR(INDEX($BI$2:$BI$101,MATCH(95,$BJ$2:$BJ$101,0)),"")</f>
        <v/>
      </c>
      <c r="BL96" s="60" t="str">
        <f aca="false">IFERROR(INDEX($BH$2:$BH$101,MATCH(95,$BJ$2:$BJ$101,0)),"")</f>
        <v/>
      </c>
    </row>
    <row r="97" customFormat="false" ht="15" hidden="false" customHeight="false" outlineLevel="0" collapsed="false">
      <c r="BH97" s="60" t="n">
        <f aca="false">ROUND(MAX(0,MIN(BE11,BF7)-MAX(BE11-BC11,BF7-BD7)),0)</f>
        <v>0</v>
      </c>
      <c r="BI97" s="60" t="str">
        <f aca="false">IF(BH97&gt;=1,BA11&amp;" pays "&amp;BA7,"")</f>
        <v/>
      </c>
      <c r="BJ97" s="60" t="str">
        <f aca="false">IF(BI97="","",COUNTIF($BH$2:BH97,"&gt;=1"))</f>
        <v/>
      </c>
      <c r="BK97" s="60" t="str">
        <f aca="false">IFERROR(INDEX($BI$2:$BI$101,MATCH(96,$BJ$2:$BJ$101,0)),"")</f>
        <v/>
      </c>
      <c r="BL97" s="60" t="str">
        <f aca="false">IFERROR(INDEX($BH$2:$BH$101,MATCH(96,$BJ$2:$BJ$101,0)),"")</f>
        <v/>
      </c>
    </row>
    <row r="98" customFormat="false" ht="15" hidden="false" customHeight="false" outlineLevel="0" collapsed="false">
      <c r="BH98" s="60" t="n">
        <f aca="false">ROUND(MAX(0,MIN(BE11,BF8)-MAX(BE11-BC11,BF8-BD8)),0)</f>
        <v>0</v>
      </c>
      <c r="BI98" s="60" t="str">
        <f aca="false">IF(BH98&gt;=1,BA11&amp;" pays "&amp;BA8,"")</f>
        <v/>
      </c>
      <c r="BJ98" s="60" t="str">
        <f aca="false">IF(BI98="","",COUNTIF($BH$2:BH98,"&gt;=1"))</f>
        <v/>
      </c>
      <c r="BK98" s="60" t="str">
        <f aca="false">IFERROR(INDEX($BI$2:$BI$101,MATCH(97,$BJ$2:$BJ$101,0)),"")</f>
        <v/>
      </c>
      <c r="BL98" s="60" t="str">
        <f aca="false">IFERROR(INDEX($BH$2:$BH$101,MATCH(97,$BJ$2:$BJ$101,0)),"")</f>
        <v/>
      </c>
    </row>
    <row r="99" customFormat="false" ht="15" hidden="false" customHeight="false" outlineLevel="0" collapsed="false">
      <c r="BH99" s="60" t="n">
        <f aca="false">ROUND(MAX(0,MIN(BE11,BF9)-MAX(BE11-BC11,BF9-BD9)),0)</f>
        <v>0</v>
      </c>
      <c r="BI99" s="60" t="str">
        <f aca="false">IF(BH99&gt;=1,BA11&amp;" pays "&amp;BA9,"")</f>
        <v/>
      </c>
      <c r="BJ99" s="60" t="str">
        <f aca="false">IF(BI99="","",COUNTIF($BH$2:BH99,"&gt;=1"))</f>
        <v/>
      </c>
      <c r="BK99" s="60" t="str">
        <f aca="false">IFERROR(INDEX($BI$2:$BI$101,MATCH(98,$BJ$2:$BJ$101,0)),"")</f>
        <v/>
      </c>
      <c r="BL99" s="60" t="str">
        <f aca="false">IFERROR(INDEX($BH$2:$BH$101,MATCH(98,$BJ$2:$BJ$101,0)),"")</f>
        <v/>
      </c>
    </row>
    <row r="100" customFormat="false" ht="15" hidden="false" customHeight="false" outlineLevel="0" collapsed="false">
      <c r="BH100" s="60" t="n">
        <f aca="false">ROUND(MAX(0,MIN(BE11,BF10)-MAX(BE11-BC11,BF10-BD10)),0)</f>
        <v>0</v>
      </c>
      <c r="BI100" s="60" t="str">
        <f aca="false">IF(BH100&gt;=1,BA11&amp;" pays "&amp;BA10,"")</f>
        <v/>
      </c>
      <c r="BJ100" s="60" t="str">
        <f aca="false">IF(BI100="","",COUNTIF($BH$2:BH100,"&gt;=1"))</f>
        <v/>
      </c>
      <c r="BK100" s="60" t="str">
        <f aca="false">IFERROR(INDEX($BI$2:$BI$101,MATCH(99,$BJ$2:$BJ$101,0)),"")</f>
        <v/>
      </c>
      <c r="BL100" s="60" t="str">
        <f aca="false">IFERROR(INDEX($BH$2:$BH$101,MATCH(99,$BJ$2:$BJ$101,0)),"")</f>
        <v/>
      </c>
    </row>
    <row r="101" customFormat="false" ht="15" hidden="false" customHeight="false" outlineLevel="0" collapsed="false">
      <c r="BH101" s="60" t="n">
        <f aca="false">ROUND(MAX(0,MIN(BE11,BF11)-MAX(BE11-BC11,BF11-BD11)),0)</f>
        <v>0</v>
      </c>
      <c r="BI101" s="60" t="str">
        <f aca="false">IF(BH101&gt;=1,BA11&amp;" pays "&amp;BA11,"")</f>
        <v/>
      </c>
      <c r="BJ101" s="60" t="str">
        <f aca="false">IF(BI101="","",COUNTIF($BH$2:BH101,"&gt;=1"))</f>
        <v/>
      </c>
      <c r="BK101" s="60" t="str">
        <f aca="false">IFERROR(INDEX($BI$2:$BI$101,MATCH(100,$BJ$2:$BJ$101,0)),"")</f>
        <v/>
      </c>
      <c r="BL101" s="60" t="str">
        <f aca="false">IFERROR(INDEX($BH$2:$BH$101,MATCH(100,$BJ$2:$BJ$101,0)),"")</f>
        <v/>
      </c>
    </row>
  </sheetData>
  <sheetProtection sheet="true" password="ecf5" formatRows="false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2026-10-30T02:57:09Z</dcterms:created>
  <dc:creator>openpyxl</dc:creator>
  <dc:description/>
  <dc:language>en-US</dc:language>
  <cp:lastModifiedBy/>
  <dcterms:modified xsi:type="dcterms:W3CDTF">2026-10-30T06:57:14Z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